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ржова Светлана\Desktop\государственная программа\отчетность по госпрограмме\отчет 2019\3 квартал 2019\здравоохранение\"/>
    </mc:Choice>
  </mc:AlternateContent>
  <bookViews>
    <workbookView xWindow="360" yWindow="360" windowWidth="19320" windowHeight="12180" firstSheet="19" activeTab="19"/>
  </bookViews>
  <sheets>
    <sheet name="для Киселевой Е.С." sheetId="70" state="hidden" r:id="rId1"/>
    <sheet name="таблица (всего)" sheetId="44" state="hidden" r:id="rId2"/>
    <sheet name="ТПГГ (областной бюджет)" sheetId="72" state="hidden" r:id="rId3"/>
    <sheet name="Модернизация" sheetId="50" state="hidden" r:id="rId4"/>
    <sheet name="Первичная" sheetId="51" state="hidden" r:id="rId5"/>
    <sheet name="Специализированная" sheetId="52" state="hidden" r:id="rId6"/>
    <sheet name="Паллиативная" sheetId="53" state="hidden" r:id="rId7"/>
    <sheet name="Заготовка крови" sheetId="54" state="hidden" r:id="rId8"/>
    <sheet name="Другие вопросы" sheetId="58" state="hidden" r:id="rId9"/>
    <sheet name="Меры соц. поддержки" sheetId="59" state="hidden" r:id="rId10"/>
    <sheet name="Организация ОМС" sheetId="60" state="hidden" r:id="rId11"/>
    <sheet name="Лицензирование" sheetId="61" state="hidden" r:id="rId12"/>
    <sheet name="Охрана здоровья МиР" sheetId="62" state="hidden" r:id="rId13"/>
    <sheet name="Кадровое обеспечение" sheetId="63" state="hidden" r:id="rId14"/>
    <sheet name="ТФОМС" sheetId="64" state="hidden" r:id="rId15"/>
    <sheet name="Образование" sheetId="69" state="hidden" r:id="rId16"/>
    <sheet name="Управление" sheetId="65" state="hidden" r:id="rId17"/>
    <sheet name="Соц.поддержка" sheetId="66" state="hidden" r:id="rId18"/>
    <sheet name="Обеспечение безопасности" sheetId="67" state="hidden" r:id="rId19"/>
    <sheet name="ежеквартальный отчет" sheetId="71" r:id="rId20"/>
  </sheets>
  <definedNames>
    <definedName name="OLE_LINK1" localSheetId="4">Первичная!$A$5</definedName>
    <definedName name="_xlnm.Print_Titles" localSheetId="19">'ежеквартальный отчет'!$A:$L,'ежеквартальный отчет'!$6:$7</definedName>
    <definedName name="_xlnm.Print_Area" localSheetId="19">'ежеквартальный отчет'!$A$1:$L$577</definedName>
    <definedName name="_xlnm.Print_Area" localSheetId="1">'таблица (всего)'!$A$1:$K$185</definedName>
  </definedNames>
  <calcPr calcId="152511"/>
</workbook>
</file>

<file path=xl/calcChain.xml><?xml version="1.0" encoding="utf-8"?>
<calcChain xmlns="http://schemas.openxmlformats.org/spreadsheetml/2006/main">
  <c r="F25" i="71" l="1"/>
  <c r="E25" i="71"/>
  <c r="F24" i="71"/>
  <c r="E24" i="71"/>
  <c r="L387" i="71"/>
  <c r="L384" i="71"/>
  <c r="F395" i="71" l="1"/>
  <c r="E395" i="71"/>
  <c r="F393" i="71"/>
  <c r="L395" i="71"/>
  <c r="F756" i="71" l="1"/>
  <c r="E756" i="71"/>
  <c r="E754" i="71" s="1"/>
  <c r="F755" i="71"/>
  <c r="F754" i="71"/>
  <c r="F753" i="71"/>
  <c r="F752" i="71"/>
  <c r="F751" i="71" s="1"/>
  <c r="E753" i="71" l="1"/>
  <c r="E751" i="71" s="1"/>
  <c r="F408" i="71"/>
  <c r="E408" i="71"/>
  <c r="F405" i="71"/>
  <c r="E405" i="71"/>
  <c r="L405" i="71" l="1"/>
  <c r="F387" i="71" l="1"/>
  <c r="E387" i="71"/>
  <c r="F384" i="71"/>
  <c r="E384" i="71"/>
  <c r="E253" i="71"/>
  <c r="F252" i="71"/>
  <c r="E252" i="71"/>
  <c r="E250" i="71"/>
  <c r="F249" i="71"/>
  <c r="E249" i="71"/>
  <c r="E127" i="71"/>
  <c r="F26" i="71" l="1"/>
  <c r="M106" i="71" l="1"/>
  <c r="M105" i="71"/>
  <c r="K300" i="71" l="1"/>
  <c r="K290" i="71" l="1"/>
  <c r="K304" i="71" l="1"/>
  <c r="K192" i="71" l="1"/>
  <c r="E759" i="71" l="1"/>
  <c r="E758" i="71"/>
  <c r="L763" i="71"/>
  <c r="F763" i="71"/>
  <c r="E763" i="71"/>
  <c r="L760" i="71"/>
  <c r="F760" i="71"/>
  <c r="E760" i="71"/>
  <c r="L759" i="71"/>
  <c r="F759" i="71"/>
  <c r="L758" i="71"/>
  <c r="L757" i="71" s="1"/>
  <c r="F758" i="71"/>
  <c r="F757" i="71" s="1"/>
  <c r="E463" i="71"/>
  <c r="E416" i="71"/>
  <c r="E757" i="71" l="1"/>
  <c r="L145" i="71" l="1"/>
  <c r="F145" i="71"/>
  <c r="E145" i="71"/>
  <c r="L142" i="71"/>
  <c r="F142" i="71"/>
  <c r="E142" i="71"/>
  <c r="F53" i="71" l="1"/>
  <c r="E53" i="71"/>
  <c r="F50" i="71"/>
  <c r="E50" i="71"/>
  <c r="F564" i="71" l="1"/>
  <c r="F553" i="71"/>
  <c r="F554" i="71"/>
  <c r="F550" i="71"/>
  <c r="F551" i="71"/>
  <c r="F533" i="71"/>
  <c r="F534" i="71"/>
  <c r="F529" i="71"/>
  <c r="F530" i="71"/>
  <c r="F514" i="71"/>
  <c r="F515" i="71"/>
  <c r="F502" i="71"/>
  <c r="F503" i="71"/>
  <c r="F499" i="71"/>
  <c r="F500" i="71"/>
  <c r="F493" i="71"/>
  <c r="F494" i="71"/>
  <c r="F487" i="71"/>
  <c r="F488" i="71"/>
  <c r="F476" i="71"/>
  <c r="F477" i="71"/>
  <c r="F470" i="71"/>
  <c r="F471" i="71"/>
  <c r="F463" i="71"/>
  <c r="F464" i="71"/>
  <c r="F457" i="71"/>
  <c r="F458" i="71"/>
  <c r="F416" i="71"/>
  <c r="F417" i="71"/>
  <c r="F414" i="71" s="1"/>
  <c r="F15" i="71" s="1"/>
  <c r="F412" i="71"/>
  <c r="F413" i="71"/>
  <c r="F394" i="71"/>
  <c r="F392" i="71"/>
  <c r="F369" i="71"/>
  <c r="F370" i="71"/>
  <c r="F348" i="71"/>
  <c r="F349" i="71"/>
  <c r="F326" i="71"/>
  <c r="F327" i="71"/>
  <c r="F259" i="71"/>
  <c r="F260" i="71"/>
  <c r="F257" i="71" s="1"/>
  <c r="F241" i="71"/>
  <c r="F240" i="71" s="1"/>
  <c r="F242" i="71"/>
  <c r="F223" i="71"/>
  <c r="F224" i="71"/>
  <c r="F219" i="71"/>
  <c r="F217" i="71"/>
  <c r="F218" i="71"/>
  <c r="F160" i="71"/>
  <c r="F161" i="71"/>
  <c r="F151" i="71"/>
  <c r="F149" i="71"/>
  <c r="F150" i="71"/>
  <c r="F127" i="71"/>
  <c r="F130" i="71"/>
  <c r="F105" i="71"/>
  <c r="F106" i="71"/>
  <c r="F88" i="71"/>
  <c r="F89" i="71"/>
  <c r="F70" i="71"/>
  <c r="F69" i="71" s="1"/>
  <c r="F71" i="71"/>
  <c r="L70" i="71"/>
  <c r="L24" i="71"/>
  <c r="F532" i="71" l="1"/>
  <c r="F549" i="71"/>
  <c r="F552" i="71"/>
  <c r="F126" i="71"/>
  <c r="F258" i="71"/>
  <c r="F325" i="71"/>
  <c r="F347" i="71"/>
  <c r="F368" i="71"/>
  <c r="F462" i="71"/>
  <c r="F391" i="71"/>
  <c r="F390" i="71" s="1"/>
  <c r="F256" i="71"/>
  <c r="F255" i="71" s="1"/>
  <c r="F158" i="71"/>
  <c r="F222" i="71"/>
  <c r="F87" i="71"/>
  <c r="F23" i="71"/>
  <c r="F22" i="71"/>
  <c r="F104" i="71"/>
  <c r="F159" i="71"/>
  <c r="F415" i="71"/>
  <c r="F456" i="71"/>
  <c r="F469" i="71"/>
  <c r="F475" i="71"/>
  <c r="F486" i="71"/>
  <c r="F492" i="71"/>
  <c r="F498" i="71"/>
  <c r="F501" i="71"/>
  <c r="F513" i="71"/>
  <c r="F411" i="71"/>
  <c r="F157" i="71"/>
  <c r="F216" i="71"/>
  <c r="F148" i="71"/>
  <c r="F21" i="71"/>
  <c r="F156" i="71" l="1"/>
  <c r="F20" i="71"/>
  <c r="L35" i="71"/>
  <c r="L32" i="71"/>
  <c r="L29" i="71"/>
  <c r="L224" i="71"/>
  <c r="L223" i="71"/>
  <c r="L228" i="71"/>
  <c r="L26" i="71"/>
  <c r="F98" i="71" l="1"/>
  <c r="L392" i="71" l="1"/>
  <c r="L394" i="71"/>
  <c r="L391" i="71" s="1"/>
  <c r="E394" i="71"/>
  <c r="F575" i="71"/>
  <c r="L575" i="71"/>
  <c r="L574" i="71"/>
  <c r="L563" i="71" s="1"/>
  <c r="L573" i="71"/>
  <c r="L562" i="71" s="1"/>
  <c r="L564" i="71"/>
  <c r="L488" i="71"/>
  <c r="L561" i="71" l="1"/>
  <c r="L572" i="71"/>
  <c r="K316" i="71" l="1"/>
  <c r="J316" i="71"/>
  <c r="K203" i="71"/>
  <c r="K198" i="71"/>
  <c r="K186" i="71"/>
  <c r="L126" i="71"/>
  <c r="L241" i="71"/>
  <c r="F573" i="71"/>
  <c r="L565" i="71"/>
  <c r="E564" i="71"/>
  <c r="E565" i="71"/>
  <c r="L560" i="71"/>
  <c r="L557" i="71"/>
  <c r="L537" i="71"/>
  <c r="L527" i="71"/>
  <c r="L524" i="71"/>
  <c r="L521" i="71"/>
  <c r="L514" i="71"/>
  <c r="L509" i="71"/>
  <c r="L506" i="71"/>
  <c r="L494" i="71"/>
  <c r="L493" i="71"/>
  <c r="L490" i="71"/>
  <c r="L487" i="71" s="1"/>
  <c r="L486" i="71" s="1"/>
  <c r="L480" i="71"/>
  <c r="L477" i="71" s="1"/>
  <c r="L476" i="71"/>
  <c r="L474" i="71"/>
  <c r="L370" i="71"/>
  <c r="L369" i="71"/>
  <c r="L349" i="71"/>
  <c r="L348" i="71"/>
  <c r="L327" i="71"/>
  <c r="L326" i="71"/>
  <c r="L368" i="71" l="1"/>
  <c r="L515" i="71"/>
  <c r="L347" i="71"/>
  <c r="L325" i="71"/>
  <c r="L492" i="71"/>
  <c r="L513" i="71"/>
  <c r="L475" i="71"/>
  <c r="L259" i="71"/>
  <c r="L260" i="71"/>
  <c r="L257" i="71" s="1"/>
  <c r="L161" i="71"/>
  <c r="L160" i="71"/>
  <c r="L150" i="71"/>
  <c r="L149" i="71"/>
  <c r="L159" i="71" l="1"/>
  <c r="L258" i="71"/>
  <c r="L256" i="71"/>
  <c r="L255" i="71" s="1"/>
  <c r="L148" i="71"/>
  <c r="O256" i="71" l="1"/>
  <c r="E573" i="71" l="1"/>
  <c r="E562" i="71" s="1"/>
  <c r="E369" i="71"/>
  <c r="E242" i="71"/>
  <c r="L242" i="71"/>
  <c r="F243" i="71"/>
  <c r="L243" i="71"/>
  <c r="E244" i="71"/>
  <c r="F246" i="71"/>
  <c r="L246" i="71"/>
  <c r="E247" i="71"/>
  <c r="E246" i="71" s="1"/>
  <c r="E259" i="71"/>
  <c r="E261" i="71"/>
  <c r="F261" i="71"/>
  <c r="L261" i="71"/>
  <c r="F285" i="71"/>
  <c r="L285" i="71"/>
  <c r="E287" i="71"/>
  <c r="F297" i="71"/>
  <c r="L297" i="71"/>
  <c r="E299" i="71"/>
  <c r="E297" i="71" s="1"/>
  <c r="F300" i="71"/>
  <c r="L300" i="71"/>
  <c r="E302" i="71"/>
  <c r="E300" i="71" s="1"/>
  <c r="E310" i="71"/>
  <c r="F310" i="71"/>
  <c r="L310" i="71"/>
  <c r="E313" i="71"/>
  <c r="F313" i="71"/>
  <c r="L313" i="71"/>
  <c r="E316" i="71"/>
  <c r="F316" i="71"/>
  <c r="L316" i="71"/>
  <c r="E326" i="71"/>
  <c r="E327" i="71"/>
  <c r="E328" i="71"/>
  <c r="F328" i="71"/>
  <c r="L328" i="71"/>
  <c r="E335" i="71"/>
  <c r="F335" i="71"/>
  <c r="L335" i="71"/>
  <c r="E341" i="71"/>
  <c r="F341" i="71"/>
  <c r="L341" i="71"/>
  <c r="E344" i="71"/>
  <c r="F344" i="71"/>
  <c r="J344" i="71"/>
  <c r="K344" i="71"/>
  <c r="L344" i="71"/>
  <c r="E348" i="71"/>
  <c r="E349" i="71"/>
  <c r="E350" i="71"/>
  <c r="F350" i="71"/>
  <c r="J350" i="71"/>
  <c r="K350" i="71"/>
  <c r="L350" i="71"/>
  <c r="E353" i="71"/>
  <c r="F353" i="71"/>
  <c r="L353" i="71"/>
  <c r="E356" i="71"/>
  <c r="F356" i="71"/>
  <c r="J356" i="71"/>
  <c r="K356" i="71"/>
  <c r="L356" i="71"/>
  <c r="E359" i="71"/>
  <c r="F359" i="71"/>
  <c r="L359" i="71"/>
  <c r="E362" i="71"/>
  <c r="F362" i="71"/>
  <c r="L362" i="71"/>
  <c r="E365" i="71"/>
  <c r="F365" i="71"/>
  <c r="L365" i="71"/>
  <c r="E370" i="71"/>
  <c r="E371" i="71"/>
  <c r="F371" i="71"/>
  <c r="L371" i="71"/>
  <c r="E378" i="71"/>
  <c r="F378" i="71"/>
  <c r="L378" i="71"/>
  <c r="E381" i="71"/>
  <c r="F381" i="71"/>
  <c r="L381" i="71"/>
  <c r="E256" i="71" l="1"/>
  <c r="E347" i="71"/>
  <c r="L240" i="71"/>
  <c r="E260" i="71"/>
  <c r="E257" i="71" s="1"/>
  <c r="E368" i="71"/>
  <c r="E325" i="71"/>
  <c r="E241" i="71"/>
  <c r="E240" i="71" s="1"/>
  <c r="E285" i="71"/>
  <c r="E243" i="71"/>
  <c r="E224" i="71"/>
  <c r="E476" i="71"/>
  <c r="E255" i="71" l="1"/>
  <c r="E258" i="71"/>
  <c r="E480" i="71"/>
  <c r="L478" i="71"/>
  <c r="F478" i="71"/>
  <c r="L402" i="71"/>
  <c r="F402" i="71"/>
  <c r="E402" i="71"/>
  <c r="E478" i="71" l="1"/>
  <c r="E477" i="71"/>
  <c r="E160" i="71"/>
  <c r="E235" i="71" l="1"/>
  <c r="E234" i="71" s="1"/>
  <c r="L234" i="71"/>
  <c r="F234" i="71"/>
  <c r="E574" i="71"/>
  <c r="E563" i="71" s="1"/>
  <c r="E514" i="71"/>
  <c r="E457" i="71" l="1"/>
  <c r="E396" i="71"/>
  <c r="L396" i="71"/>
  <c r="F396" i="71"/>
  <c r="E238" i="71" l="1"/>
  <c r="E237" i="71" s="1"/>
  <c r="L237" i="71"/>
  <c r="F237" i="71"/>
  <c r="E231" i="71"/>
  <c r="L231" i="71"/>
  <c r="F231" i="71"/>
  <c r="E229" i="71"/>
  <c r="E228" i="71" s="1"/>
  <c r="F228" i="71"/>
  <c r="L213" i="71"/>
  <c r="F213" i="71"/>
  <c r="E213" i="71"/>
  <c r="L210" i="71"/>
  <c r="F210" i="71"/>
  <c r="E210" i="71"/>
  <c r="E150" i="71"/>
  <c r="E149" i="71"/>
  <c r="L151" i="71"/>
  <c r="E151" i="71"/>
  <c r="L139" i="71"/>
  <c r="F139" i="71"/>
  <c r="E139" i="71"/>
  <c r="L136" i="71"/>
  <c r="F136" i="71"/>
  <c r="E136" i="71"/>
  <c r="L133" i="71"/>
  <c r="F133" i="71"/>
  <c r="E133" i="71"/>
  <c r="E130" i="71"/>
  <c r="L123" i="71"/>
  <c r="F123" i="71"/>
  <c r="E123" i="71"/>
  <c r="L120" i="71"/>
  <c r="F120" i="71"/>
  <c r="E120" i="71"/>
  <c r="L107" i="71"/>
  <c r="F107" i="71"/>
  <c r="E107" i="71"/>
  <c r="L106" i="71"/>
  <c r="E106" i="71"/>
  <c r="L105" i="71"/>
  <c r="E105" i="71"/>
  <c r="E89" i="71"/>
  <c r="E88" i="71"/>
  <c r="L101" i="71"/>
  <c r="F101" i="71"/>
  <c r="E101" i="71"/>
  <c r="L98" i="71"/>
  <c r="E98" i="71"/>
  <c r="L90" i="71"/>
  <c r="F90" i="71"/>
  <c r="E90" i="71"/>
  <c r="L89" i="71"/>
  <c r="L88" i="71"/>
  <c r="E71" i="71"/>
  <c r="E70" i="71"/>
  <c r="L84" i="71"/>
  <c r="F84" i="71"/>
  <c r="E84" i="71"/>
  <c r="L81" i="71"/>
  <c r="F81" i="71"/>
  <c r="E81" i="71"/>
  <c r="L78" i="71"/>
  <c r="F78" i="71"/>
  <c r="E78" i="71"/>
  <c r="L72" i="71"/>
  <c r="F72" i="71"/>
  <c r="E72" i="71"/>
  <c r="L71" i="71"/>
  <c r="F66" i="71"/>
  <c r="E66" i="71"/>
  <c r="F59" i="71"/>
  <c r="E59" i="71"/>
  <c r="F56" i="71"/>
  <c r="E56" i="71"/>
  <c r="F47" i="71"/>
  <c r="E47" i="71"/>
  <c r="F41" i="71"/>
  <c r="E41" i="71"/>
  <c r="F38" i="71"/>
  <c r="E38" i="71"/>
  <c r="L87" i="71" l="1"/>
  <c r="E148" i="71"/>
  <c r="E21" i="71"/>
  <c r="E22" i="71"/>
  <c r="M104" i="71"/>
  <c r="E126" i="71"/>
  <c r="E104" i="71"/>
  <c r="L104" i="71"/>
  <c r="E87" i="71"/>
  <c r="E69" i="71"/>
  <c r="L69" i="71"/>
  <c r="F35" i="71" l="1"/>
  <c r="E35" i="71"/>
  <c r="F747" i="71" l="1"/>
  <c r="E744" i="71" l="1"/>
  <c r="E741" i="71" s="1"/>
  <c r="E738" i="71" s="1"/>
  <c r="E734" i="71" s="1"/>
  <c r="L742" i="71"/>
  <c r="F742" i="71"/>
  <c r="L741" i="71"/>
  <c r="L738" i="71" s="1"/>
  <c r="L734" i="71" s="1"/>
  <c r="F741" i="71"/>
  <c r="F738" i="71" s="1"/>
  <c r="F734" i="71" s="1"/>
  <c r="L740" i="71"/>
  <c r="F740" i="71"/>
  <c r="E740" i="71"/>
  <c r="F739" i="71" l="1"/>
  <c r="L739" i="71"/>
  <c r="F737" i="71"/>
  <c r="F736" i="71" s="1"/>
  <c r="E739" i="71"/>
  <c r="E742" i="71"/>
  <c r="E737" i="71"/>
  <c r="L737" i="71"/>
  <c r="F733" i="71" l="1"/>
  <c r="F732" i="71" s="1"/>
  <c r="F731" i="71" s="1"/>
  <c r="E736" i="71"/>
  <c r="E733" i="71"/>
  <c r="E732" i="71" s="1"/>
  <c r="E731" i="71" s="1"/>
  <c r="L736" i="71"/>
  <c r="L733" i="71"/>
  <c r="L732" i="71" s="1"/>
  <c r="L731" i="71" s="1"/>
  <c r="K637" i="71" l="1"/>
  <c r="K623" i="71"/>
  <c r="K622" i="71"/>
  <c r="K621" i="71"/>
  <c r="K603" i="71"/>
  <c r="K600" i="71"/>
  <c r="K624" i="71" l="1"/>
  <c r="K606" i="71"/>
  <c r="L747" i="71" l="1"/>
  <c r="E747" i="71"/>
  <c r="L545" i="71" l="1"/>
  <c r="L542" i="71"/>
  <c r="L538" i="71"/>
  <c r="L541" i="71" l="1"/>
  <c r="L531" i="71" s="1"/>
  <c r="F558" i="71"/>
  <c r="E494" i="71"/>
  <c r="E493" i="71"/>
  <c r="F574" i="71" l="1"/>
  <c r="F563" i="71" s="1"/>
  <c r="F14" i="71" s="1"/>
  <c r="L495" i="71"/>
  <c r="L457" i="71"/>
  <c r="F545" i="71" l="1"/>
  <c r="E542" i="71"/>
  <c r="F542" i="71"/>
  <c r="E540" i="71"/>
  <c r="F538" i="71"/>
  <c r="F541" i="71" l="1"/>
  <c r="F531" i="71" s="1"/>
  <c r="E545" i="71"/>
  <c r="F495" i="71"/>
  <c r="E495" i="71"/>
  <c r="E492" i="71"/>
  <c r="F17" i="71" l="1"/>
  <c r="F16" i="71" s="1"/>
  <c r="F528" i="71"/>
  <c r="E541" i="71"/>
  <c r="E531" i="71" s="1"/>
  <c r="E17" i="71" s="1"/>
  <c r="E16" i="71" s="1"/>
  <c r="E723" i="71"/>
  <c r="E720" i="71" s="1"/>
  <c r="E717" i="71" s="1"/>
  <c r="E722" i="71"/>
  <c r="L721" i="71"/>
  <c r="F721" i="71"/>
  <c r="L720" i="71"/>
  <c r="L717" i="71" s="1"/>
  <c r="F720" i="71"/>
  <c r="F717" i="71" s="1"/>
  <c r="L719" i="71"/>
  <c r="L716" i="71" s="1"/>
  <c r="F719" i="71"/>
  <c r="F716" i="71" s="1"/>
  <c r="L718" i="71" l="1"/>
  <c r="L715" i="71"/>
  <c r="E721" i="71"/>
  <c r="F718" i="71"/>
  <c r="F715" i="71"/>
  <c r="E719" i="71"/>
  <c r="E718" i="71" l="1"/>
  <c r="E716" i="71"/>
  <c r="E715" i="71" s="1"/>
  <c r="F566" i="71"/>
  <c r="F562" i="71" s="1"/>
  <c r="F561" i="71" l="1"/>
  <c r="F12" i="71"/>
  <c r="F9" i="71" s="1"/>
  <c r="F8" i="71" s="1"/>
  <c r="F565" i="71"/>
  <c r="F595" i="71"/>
  <c r="F592" i="71" s="1"/>
  <c r="F596" i="71"/>
  <c r="F593" i="71" s="1"/>
  <c r="F610" i="71"/>
  <c r="F611" i="71"/>
  <c r="F619" i="71"/>
  <c r="F616" i="71" s="1"/>
  <c r="F620" i="71"/>
  <c r="F617" i="71" s="1"/>
  <c r="F629" i="71"/>
  <c r="F626" i="71" s="1"/>
  <c r="F630" i="71"/>
  <c r="F627" i="71" s="1"/>
  <c r="F657" i="71"/>
  <c r="F654" i="71" s="1"/>
  <c r="F658" i="71"/>
  <c r="F655" i="71" s="1"/>
  <c r="F666" i="71"/>
  <c r="F663" i="71" s="1"/>
  <c r="F667" i="71"/>
  <c r="F664" i="71" s="1"/>
  <c r="F688" i="71"/>
  <c r="F685" i="71" s="1"/>
  <c r="F681" i="71" s="1"/>
  <c r="F689" i="71"/>
  <c r="F686" i="71" s="1"/>
  <c r="F682" i="71" s="1"/>
  <c r="F710" i="71"/>
  <c r="F711" i="71"/>
  <c r="F708" i="71" s="1"/>
  <c r="F704" i="71" s="1"/>
  <c r="F589" i="71" l="1"/>
  <c r="F588" i="71"/>
  <c r="F651" i="71"/>
  <c r="F680" i="71"/>
  <c r="F679" i="71" s="1"/>
  <c r="F609" i="71"/>
  <c r="F650" i="71"/>
  <c r="F709" i="71"/>
  <c r="F707" i="71"/>
  <c r="F591" i="71"/>
  <c r="F594" i="71"/>
  <c r="F615" i="71"/>
  <c r="F618" i="71"/>
  <c r="F625" i="71"/>
  <c r="F628" i="71"/>
  <c r="F653" i="71"/>
  <c r="F656" i="71"/>
  <c r="F662" i="71"/>
  <c r="F665" i="71"/>
  <c r="F684" i="71"/>
  <c r="F687" i="71"/>
  <c r="K634" i="71"/>
  <c r="K631" i="71"/>
  <c r="F587" i="71" l="1"/>
  <c r="F586" i="71" s="1"/>
  <c r="F649" i="71"/>
  <c r="F648" i="71" s="1"/>
  <c r="F706" i="71"/>
  <c r="F703" i="71"/>
  <c r="F702" i="71" s="1"/>
  <c r="F701" i="71" s="1"/>
  <c r="L620" i="71"/>
  <c r="L621" i="71"/>
  <c r="J203" i="71" l="1"/>
  <c r="J198" i="71"/>
  <c r="J192" i="71"/>
  <c r="J186" i="71"/>
  <c r="L25" i="71"/>
  <c r="L21" i="71"/>
  <c r="E527" i="71"/>
  <c r="E525" i="71" s="1"/>
  <c r="L525" i="71"/>
  <c r="F525" i="71"/>
  <c r="E524" i="71"/>
  <c r="E522" i="71" s="1"/>
  <c r="L522" i="71"/>
  <c r="F522" i="71"/>
  <c r="E521" i="71"/>
  <c r="E519" i="71" s="1"/>
  <c r="L519" i="71"/>
  <c r="F519" i="71"/>
  <c r="E518" i="71"/>
  <c r="L516" i="71"/>
  <c r="F516" i="71"/>
  <c r="L481" i="71"/>
  <c r="L463" i="71"/>
  <c r="L23" i="71" l="1"/>
  <c r="L22" i="71"/>
  <c r="L20" i="71" s="1"/>
  <c r="M20" i="71" s="1"/>
  <c r="E515" i="71"/>
  <c r="E513" i="71" s="1"/>
  <c r="E516" i="71"/>
  <c r="F32" i="71"/>
  <c r="E32" i="71"/>
  <c r="F40" i="70" l="1"/>
  <c r="G40" i="70"/>
  <c r="H40" i="70"/>
  <c r="E40" i="70"/>
  <c r="E666" i="71"/>
  <c r="F481" i="71"/>
  <c r="E481" i="71"/>
  <c r="H106" i="44" l="1"/>
  <c r="I106" i="44"/>
  <c r="J106" i="44"/>
  <c r="G106" i="44"/>
  <c r="G51" i="44"/>
  <c r="J30" i="44"/>
  <c r="I30" i="44"/>
  <c r="H30" i="44"/>
  <c r="G30" i="44"/>
  <c r="G65" i="44" l="1"/>
  <c r="H65" i="44"/>
  <c r="I65" i="44"/>
  <c r="J65" i="44"/>
  <c r="F65" i="44"/>
  <c r="K67" i="44"/>
  <c r="J105" i="44" l="1"/>
  <c r="G119" i="44"/>
  <c r="H119" i="44"/>
  <c r="I119" i="44"/>
  <c r="J119" i="44"/>
  <c r="F119" i="44"/>
  <c r="K121" i="44"/>
  <c r="G73" i="44"/>
  <c r="G71" i="44" s="1"/>
  <c r="H73" i="44"/>
  <c r="H71" i="44" s="1"/>
  <c r="I73" i="44"/>
  <c r="I71" i="44" s="1"/>
  <c r="J73" i="44"/>
  <c r="J71" i="44" s="1"/>
  <c r="I105" i="44"/>
  <c r="H105" i="44"/>
  <c r="G105" i="44"/>
  <c r="I62" i="44"/>
  <c r="H62" i="44"/>
  <c r="G62" i="44"/>
  <c r="K73" i="44" l="1"/>
  <c r="E94" i="72"/>
  <c r="F94" i="72"/>
  <c r="D94" i="72"/>
  <c r="A94" i="72"/>
  <c r="K65" i="44"/>
  <c r="K66" i="44"/>
  <c r="G45" i="44"/>
  <c r="H45" i="44"/>
  <c r="I45" i="44"/>
  <c r="J45" i="44"/>
  <c r="F45" i="44"/>
  <c r="K52" i="44"/>
  <c r="K53" i="44"/>
  <c r="K54" i="44"/>
  <c r="K55" i="44"/>
  <c r="K56" i="44"/>
  <c r="K58" i="44"/>
  <c r="K59" i="44"/>
  <c r="J29" i="44" l="1"/>
  <c r="J180" i="44"/>
  <c r="J48" i="44"/>
  <c r="J61" i="44"/>
  <c r="E20" i="72" l="1"/>
  <c r="F20" i="72"/>
  <c r="D20" i="72"/>
  <c r="D4" i="72"/>
  <c r="E4" i="72"/>
  <c r="F4" i="72"/>
  <c r="D5" i="72"/>
  <c r="D63" i="72" s="1"/>
  <c r="E5" i="72"/>
  <c r="E63" i="72" s="1"/>
  <c r="F5" i="72"/>
  <c r="F63" i="72" s="1"/>
  <c r="D8" i="72"/>
  <c r="E8" i="72"/>
  <c r="F8" i="72"/>
  <c r="D12" i="72"/>
  <c r="D10" i="72" s="1"/>
  <c r="D62" i="72" s="1"/>
  <c r="E12" i="72"/>
  <c r="E10" i="72" s="1"/>
  <c r="E62" i="72" s="1"/>
  <c r="F12" i="72"/>
  <c r="F10" i="72" s="1"/>
  <c r="F62" i="72" s="1"/>
  <c r="D13" i="72"/>
  <c r="D59" i="72" s="1"/>
  <c r="E13" i="72"/>
  <c r="E59" i="72" s="1"/>
  <c r="F13" i="72"/>
  <c r="F59" i="72" s="1"/>
  <c r="D18" i="72"/>
  <c r="E18" i="72"/>
  <c r="F18" i="72"/>
  <c r="D19" i="72"/>
  <c r="E19" i="72"/>
  <c r="F19" i="72"/>
  <c r="D21" i="72"/>
  <c r="E21" i="72"/>
  <c r="F21" i="72"/>
  <c r="D22" i="72"/>
  <c r="E22" i="72"/>
  <c r="F22" i="72"/>
  <c r="D24" i="72"/>
  <c r="E24" i="72"/>
  <c r="F24" i="72"/>
  <c r="D25" i="72"/>
  <c r="E25" i="72"/>
  <c r="F25" i="72"/>
  <c r="D27" i="72"/>
  <c r="E27" i="72"/>
  <c r="F27" i="72"/>
  <c r="D28" i="72"/>
  <c r="E28" i="72"/>
  <c r="F28" i="72"/>
  <c r="D29" i="72"/>
  <c r="E29" i="72"/>
  <c r="F29" i="72"/>
  <c r="D30" i="72"/>
  <c r="E30" i="72"/>
  <c r="F30" i="72"/>
  <c r="D31" i="72"/>
  <c r="E31" i="72"/>
  <c r="F31" i="72"/>
  <c r="D34" i="72"/>
  <c r="E34" i="72"/>
  <c r="F34" i="72"/>
  <c r="D35" i="72"/>
  <c r="E35" i="72"/>
  <c r="F35" i="72"/>
  <c r="D36" i="72"/>
  <c r="E36" i="72"/>
  <c r="F36" i="72"/>
  <c r="D37" i="72"/>
  <c r="E37" i="72"/>
  <c r="F37" i="72"/>
  <c r="D38" i="72"/>
  <c r="E38" i="72"/>
  <c r="F38" i="72"/>
  <c r="D39" i="72"/>
  <c r="E39" i="72"/>
  <c r="F39" i="72"/>
  <c r="D40" i="72"/>
  <c r="E40" i="72"/>
  <c r="F40" i="72"/>
  <c r="D42" i="72"/>
  <c r="E42" i="72"/>
  <c r="F42" i="72"/>
  <c r="D50" i="72"/>
  <c r="E50" i="72"/>
  <c r="F50" i="72"/>
  <c r="D72" i="72"/>
  <c r="E72" i="72"/>
  <c r="F72" i="72"/>
  <c r="F113" i="72"/>
  <c r="F112" i="72"/>
  <c r="F111" i="72"/>
  <c r="F110" i="72"/>
  <c r="F108" i="72"/>
  <c r="F107" i="72"/>
  <c r="F106" i="72"/>
  <c r="F105" i="72"/>
  <c r="F104" i="72"/>
  <c r="F103" i="72"/>
  <c r="F102" i="72"/>
  <c r="F99" i="72"/>
  <c r="F98" i="72"/>
  <c r="F97" i="72"/>
  <c r="F95" i="72"/>
  <c r="F93" i="72"/>
  <c r="F91" i="72"/>
  <c r="F90" i="72"/>
  <c r="F89" i="72"/>
  <c r="F88" i="72"/>
  <c r="F87" i="72"/>
  <c r="F86" i="72"/>
  <c r="F85" i="72"/>
  <c r="F84" i="72"/>
  <c r="F83" i="72"/>
  <c r="F82" i="72"/>
  <c r="E113" i="72"/>
  <c r="D113" i="72"/>
  <c r="E112" i="72"/>
  <c r="D112" i="72"/>
  <c r="E111" i="72"/>
  <c r="D111" i="72"/>
  <c r="E110" i="72"/>
  <c r="D110" i="72"/>
  <c r="E108" i="72"/>
  <c r="D108" i="72"/>
  <c r="E107" i="72"/>
  <c r="D107" i="72"/>
  <c r="E106" i="72"/>
  <c r="D106" i="72"/>
  <c r="E105" i="72"/>
  <c r="D105" i="72"/>
  <c r="E104" i="72"/>
  <c r="D104" i="72"/>
  <c r="E103" i="72"/>
  <c r="D103" i="72"/>
  <c r="E102" i="72"/>
  <c r="D102" i="72"/>
  <c r="E99" i="72"/>
  <c r="D99" i="72"/>
  <c r="E98" i="72"/>
  <c r="D98" i="72"/>
  <c r="E97" i="72"/>
  <c r="E78" i="72" s="1"/>
  <c r="D97" i="72"/>
  <c r="D78" i="72" s="1"/>
  <c r="E95" i="72"/>
  <c r="D95" i="72"/>
  <c r="E93" i="72"/>
  <c r="D93" i="72"/>
  <c r="E91" i="72"/>
  <c r="D91" i="72"/>
  <c r="E90" i="72"/>
  <c r="D90" i="72"/>
  <c r="E89" i="72"/>
  <c r="D89" i="72"/>
  <c r="E88" i="72"/>
  <c r="D88" i="72"/>
  <c r="E87" i="72"/>
  <c r="D87" i="72"/>
  <c r="E86" i="72"/>
  <c r="D86" i="72"/>
  <c r="E85" i="72"/>
  <c r="D85" i="72"/>
  <c r="E84" i="72"/>
  <c r="D84" i="72"/>
  <c r="E83" i="72"/>
  <c r="D83" i="72"/>
  <c r="E82" i="72"/>
  <c r="D82" i="72"/>
  <c r="F78" i="72" l="1"/>
  <c r="D77" i="72"/>
  <c r="E41" i="72"/>
  <c r="E65" i="72" s="1"/>
  <c r="F41" i="72"/>
  <c r="F65" i="72" s="1"/>
  <c r="D41" i="72"/>
  <c r="D65" i="72" s="1"/>
  <c r="E23" i="72"/>
  <c r="F23" i="72"/>
  <c r="D23" i="72"/>
  <c r="F77" i="72"/>
  <c r="E33" i="72"/>
  <c r="F33" i="72"/>
  <c r="D33" i="72"/>
  <c r="F26" i="72"/>
  <c r="D26" i="72"/>
  <c r="E26" i="72"/>
  <c r="E77" i="72"/>
  <c r="J179" i="44" l="1"/>
  <c r="J178" i="44" s="1"/>
  <c r="J177" i="44" s="1"/>
  <c r="I180" i="44"/>
  <c r="F109" i="72" s="1"/>
  <c r="H180" i="44"/>
  <c r="E109" i="72" s="1"/>
  <c r="G180" i="44"/>
  <c r="D109" i="72" s="1"/>
  <c r="H115" i="44"/>
  <c r="E96" i="72" s="1"/>
  <c r="I115" i="44"/>
  <c r="F96" i="72" s="1"/>
  <c r="G115" i="44"/>
  <c r="D96" i="72" s="1"/>
  <c r="H48" i="44"/>
  <c r="E3" i="72" s="1"/>
  <c r="E2" i="72" s="1"/>
  <c r="E60" i="72" s="1"/>
  <c r="I48" i="44"/>
  <c r="F3" i="72" s="1"/>
  <c r="F2" i="72" s="1"/>
  <c r="F60" i="72" s="1"/>
  <c r="G48" i="44"/>
  <c r="D3" i="72" s="1"/>
  <c r="D2" i="72" s="1"/>
  <c r="D60" i="72" s="1"/>
  <c r="G29" i="44"/>
  <c r="H29" i="44"/>
  <c r="E9" i="72" s="1"/>
  <c r="E7" i="72" s="1"/>
  <c r="E61" i="72" s="1"/>
  <c r="I29" i="44"/>
  <c r="F9" i="72" s="1"/>
  <c r="F7" i="72" s="1"/>
  <c r="F61" i="72" s="1"/>
  <c r="H61" i="44"/>
  <c r="E17" i="72" s="1"/>
  <c r="E16" i="72" s="1"/>
  <c r="I61" i="44"/>
  <c r="F17" i="72" s="1"/>
  <c r="F16" i="72" s="1"/>
  <c r="G61" i="44"/>
  <c r="D17" i="72" s="1"/>
  <c r="D16" i="72" s="1"/>
  <c r="J114" i="44"/>
  <c r="J184" i="44"/>
  <c r="J183" i="44" s="1"/>
  <c r="J182" i="44" s="1"/>
  <c r="J175" i="44"/>
  <c r="J174" i="44" s="1"/>
  <c r="J173" i="44" s="1"/>
  <c r="J170" i="44"/>
  <c r="J169" i="44" s="1"/>
  <c r="J167" i="44"/>
  <c r="J166" i="44" s="1"/>
  <c r="J161" i="44"/>
  <c r="J160" i="44" s="1"/>
  <c r="J158" i="44"/>
  <c r="J157" i="44" s="1"/>
  <c r="J155" i="44"/>
  <c r="J150" i="44"/>
  <c r="J145" i="44"/>
  <c r="J144" i="44" s="1"/>
  <c r="J140" i="44"/>
  <c r="J137" i="44" s="1"/>
  <c r="J138" i="44"/>
  <c r="J125" i="44"/>
  <c r="J122" i="44" s="1"/>
  <c r="J123" i="44"/>
  <c r="J117" i="44"/>
  <c r="J116" i="44"/>
  <c r="J109" i="44"/>
  <c r="J102" i="44"/>
  <c r="J100" i="44"/>
  <c r="J96" i="44"/>
  <c r="J94" i="44"/>
  <c r="J92" i="44"/>
  <c r="J90" i="44"/>
  <c r="J87" i="44"/>
  <c r="J84" i="44"/>
  <c r="J82" i="44"/>
  <c r="J77" i="44"/>
  <c r="J74" i="44" s="1"/>
  <c r="J75" i="44"/>
  <c r="J68" i="44"/>
  <c r="J70" i="44" s="1"/>
  <c r="J60" i="44"/>
  <c r="J57" i="44"/>
  <c r="J47" i="44"/>
  <c r="J42" i="44"/>
  <c r="J39" i="44"/>
  <c r="J34" i="44"/>
  <c r="J32" i="44"/>
  <c r="J28" i="44"/>
  <c r="J26" i="44"/>
  <c r="J13" i="44"/>
  <c r="J11" i="44"/>
  <c r="J44" i="44" l="1"/>
  <c r="J118" i="44"/>
  <c r="J124" i="44"/>
  <c r="J76" i="44"/>
  <c r="G6" i="44"/>
  <c r="D9" i="72"/>
  <c r="D7" i="72" s="1"/>
  <c r="D61" i="72" s="1"/>
  <c r="J81" i="44"/>
  <c r="J83" i="44" s="1"/>
  <c r="J149" i="44"/>
  <c r="J148" i="44" s="1"/>
  <c r="J46" i="44"/>
  <c r="J139" i="44"/>
  <c r="J12" i="44"/>
  <c r="J165" i="44"/>
  <c r="J25" i="44"/>
  <c r="J27" i="44" s="1"/>
  <c r="J99" i="44"/>
  <c r="J101" i="44" s="1"/>
  <c r="J10" i="44"/>
  <c r="G102" i="44" l="1"/>
  <c r="H102" i="44"/>
  <c r="I102" i="44"/>
  <c r="F48" i="44" l="1"/>
  <c r="K105" i="44"/>
  <c r="F190" i="44"/>
  <c r="F191" i="44"/>
  <c r="F189" i="44"/>
  <c r="F156" i="44"/>
  <c r="F37" i="44" l="1"/>
  <c r="E29" i="71" l="1"/>
  <c r="F62" i="44" l="1"/>
  <c r="G57" i="44"/>
  <c r="H57" i="44"/>
  <c r="I57" i="44"/>
  <c r="F57" i="44"/>
  <c r="F193" i="44" l="1"/>
  <c r="F110" i="44"/>
  <c r="F163" i="44"/>
  <c r="F162" i="44"/>
  <c r="F29" i="44"/>
  <c r="F113" i="44"/>
  <c r="F16" i="44"/>
  <c r="F152" i="44" l="1"/>
  <c r="F86" i="44" l="1"/>
  <c r="F98" i="44"/>
  <c r="F95" i="44"/>
  <c r="F93" i="44"/>
  <c r="F51" i="44"/>
  <c r="F49" i="44"/>
  <c r="F30" i="44"/>
  <c r="C92" i="72" l="1"/>
  <c r="C101" i="72"/>
  <c r="C42" i="72"/>
  <c r="C50" i="72"/>
  <c r="C41" i="72" l="1"/>
  <c r="C65" i="72" s="1"/>
  <c r="C72" i="72"/>
  <c r="C113" i="72"/>
  <c r="C112" i="72"/>
  <c r="A113" i="72"/>
  <c r="A112" i="72"/>
  <c r="C111" i="72"/>
  <c r="C110" i="72"/>
  <c r="C108" i="72"/>
  <c r="C107" i="72"/>
  <c r="C105" i="72"/>
  <c r="C104" i="72"/>
  <c r="C103" i="72"/>
  <c r="C102" i="72"/>
  <c r="C99" i="72"/>
  <c r="C98" i="72"/>
  <c r="C96" i="72"/>
  <c r="C95" i="72"/>
  <c r="C93" i="72"/>
  <c r="C90" i="72"/>
  <c r="C89" i="72"/>
  <c r="C88" i="72"/>
  <c r="C87" i="72"/>
  <c r="C86" i="72"/>
  <c r="C85" i="72"/>
  <c r="C84" i="72"/>
  <c r="C82" i="72"/>
  <c r="C13" i="72"/>
  <c r="C59" i="72" s="1"/>
  <c r="C5" i="72"/>
  <c r="C63" i="72" s="1"/>
  <c r="C9" i="72" l="1"/>
  <c r="C8" i="72"/>
  <c r="A9" i="72"/>
  <c r="A8" i="72"/>
  <c r="C7" i="72" l="1"/>
  <c r="C61" i="72" s="1"/>
  <c r="C39" i="72"/>
  <c r="C38" i="72"/>
  <c r="C37" i="72"/>
  <c r="C36" i="72"/>
  <c r="C35" i="72"/>
  <c r="C40" i="72"/>
  <c r="C34" i="72"/>
  <c r="C31" i="72"/>
  <c r="C30" i="72"/>
  <c r="C29" i="72"/>
  <c r="C28" i="72"/>
  <c r="C25" i="72"/>
  <c r="C22" i="72"/>
  <c r="C20" i="72"/>
  <c r="C18" i="72"/>
  <c r="C17" i="72"/>
  <c r="C12" i="72"/>
  <c r="C10" i="72" s="1"/>
  <c r="C62" i="72" s="1"/>
  <c r="C4" i="72"/>
  <c r="C3" i="72"/>
  <c r="A111" i="72"/>
  <c r="A110" i="72"/>
  <c r="A109" i="72"/>
  <c r="A108" i="72"/>
  <c r="A107" i="72"/>
  <c r="A105" i="72"/>
  <c r="A104" i="72"/>
  <c r="A103" i="72"/>
  <c r="A102" i="72"/>
  <c r="A101" i="72"/>
  <c r="A100" i="72"/>
  <c r="A99" i="72"/>
  <c r="A98" i="72"/>
  <c r="A97" i="72"/>
  <c r="A96" i="72"/>
  <c r="A95" i="72"/>
  <c r="A93" i="72"/>
  <c r="A92" i="72"/>
  <c r="A91" i="72"/>
  <c r="A90" i="72"/>
  <c r="A89" i="72"/>
  <c r="A88" i="72"/>
  <c r="A87" i="72"/>
  <c r="A86" i="72"/>
  <c r="A85" i="72"/>
  <c r="A84" i="72"/>
  <c r="A82" i="72"/>
  <c r="A39" i="72"/>
  <c r="A38" i="72"/>
  <c r="A37" i="72"/>
  <c r="A36" i="72"/>
  <c r="A35" i="72"/>
  <c r="A40" i="72"/>
  <c r="A34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1" i="72"/>
  <c r="A12" i="72"/>
  <c r="A4" i="72"/>
  <c r="A3" i="72"/>
  <c r="C16" i="72" l="1"/>
  <c r="C33" i="72"/>
  <c r="C2" i="72"/>
  <c r="F106" i="44"/>
  <c r="F102" i="44" l="1"/>
  <c r="C21" i="72"/>
  <c r="C60" i="72"/>
  <c r="L596" i="71"/>
  <c r="F79" i="44"/>
  <c r="C24" i="72" s="1"/>
  <c r="C23" i="72" s="1"/>
  <c r="F50" i="44"/>
  <c r="C19" i="72" s="1"/>
  <c r="F180" i="44"/>
  <c r="C109" i="72" s="1"/>
  <c r="F35" i="44"/>
  <c r="C106" i="72" s="1"/>
  <c r="L600" i="71"/>
  <c r="L597" i="71"/>
  <c r="L554" i="71"/>
  <c r="L551" i="71" s="1"/>
  <c r="L553" i="71"/>
  <c r="L558" i="71"/>
  <c r="L555" i="71"/>
  <c r="L489" i="71"/>
  <c r="L535" i="71"/>
  <c r="L503" i="71"/>
  <c r="L500" i="71" s="1"/>
  <c r="L502" i="71"/>
  <c r="L499" i="71" s="1"/>
  <c r="L510" i="71"/>
  <c r="L507" i="71"/>
  <c r="L504" i="71"/>
  <c r="L470" i="71"/>
  <c r="L471" i="71"/>
  <c r="L472" i="71"/>
  <c r="L464" i="71"/>
  <c r="L465" i="71"/>
  <c r="L458" i="71"/>
  <c r="L413" i="71" s="1"/>
  <c r="L459" i="71"/>
  <c r="L416" i="71"/>
  <c r="L417" i="71"/>
  <c r="L414" i="71" s="1"/>
  <c r="L15" i="71" s="1"/>
  <c r="L443" i="71"/>
  <c r="L418" i="71"/>
  <c r="L399" i="71"/>
  <c r="L225" i="71"/>
  <c r="L217" i="71"/>
  <c r="L157" i="71" s="1"/>
  <c r="L218" i="71"/>
  <c r="L158" i="71" s="1"/>
  <c r="L219" i="71"/>
  <c r="L186" i="71"/>
  <c r="L162" i="71"/>
  <c r="L610" i="71"/>
  <c r="L611" i="71"/>
  <c r="E608" i="71"/>
  <c r="E606" i="71" s="1"/>
  <c r="L534" i="71"/>
  <c r="L530" i="71" s="1"/>
  <c r="L533" i="71"/>
  <c r="L529" i="71" s="1"/>
  <c r="L595" i="71"/>
  <c r="L603" i="71"/>
  <c r="L606" i="71"/>
  <c r="L612" i="71"/>
  <c r="L619" i="71"/>
  <c r="L616" i="71" s="1"/>
  <c r="L617" i="71"/>
  <c r="L629" i="71"/>
  <c r="L626" i="71" s="1"/>
  <c r="L630" i="71"/>
  <c r="L627" i="71" s="1"/>
  <c r="L631" i="71"/>
  <c r="L634" i="71"/>
  <c r="L637" i="71"/>
  <c r="L657" i="71"/>
  <c r="L654" i="71" s="1"/>
  <c r="L658" i="71"/>
  <c r="L655" i="71" s="1"/>
  <c r="L659" i="71"/>
  <c r="L666" i="71"/>
  <c r="L663" i="71" s="1"/>
  <c r="L667" i="71"/>
  <c r="L664" i="71" s="1"/>
  <c r="L668" i="71"/>
  <c r="L711" i="71"/>
  <c r="L708" i="71" s="1"/>
  <c r="L710" i="71"/>
  <c r="L707" i="71" s="1"/>
  <c r="L703" i="71" s="1"/>
  <c r="L712" i="71"/>
  <c r="F29" i="71"/>
  <c r="L688" i="71"/>
  <c r="L685" i="71" s="1"/>
  <c r="L681" i="71" s="1"/>
  <c r="L689" i="71"/>
  <c r="L686" i="71" s="1"/>
  <c r="L682" i="71" s="1"/>
  <c r="L690" i="71"/>
  <c r="F162" i="71"/>
  <c r="F186" i="71"/>
  <c r="F225" i="71"/>
  <c r="F418" i="71"/>
  <c r="F443" i="71"/>
  <c r="F459" i="71"/>
  <c r="F465" i="71"/>
  <c r="F472" i="71"/>
  <c r="F507" i="71"/>
  <c r="F510" i="71"/>
  <c r="F535" i="71"/>
  <c r="F489" i="71"/>
  <c r="F555" i="71"/>
  <c r="F597" i="71"/>
  <c r="F600" i="71"/>
  <c r="F603" i="71"/>
  <c r="F606" i="71"/>
  <c r="F612" i="71"/>
  <c r="F621" i="71"/>
  <c r="F631" i="71"/>
  <c r="F634" i="71"/>
  <c r="F637" i="71"/>
  <c r="F659" i="71"/>
  <c r="F668" i="71"/>
  <c r="F690" i="71"/>
  <c r="F712" i="71"/>
  <c r="E714" i="71"/>
  <c r="E711" i="71" s="1"/>
  <c r="E708" i="71" s="1"/>
  <c r="E710" i="71"/>
  <c r="E707" i="71" s="1"/>
  <c r="E703" i="71" s="1"/>
  <c r="E692" i="71"/>
  <c r="E689" i="71" s="1"/>
  <c r="E686" i="71" s="1"/>
  <c r="E682" i="71" s="1"/>
  <c r="E670" i="71"/>
  <c r="E667" i="71" s="1"/>
  <c r="E664" i="71" s="1"/>
  <c r="E661" i="71"/>
  <c r="E658" i="71" s="1"/>
  <c r="E655" i="71" s="1"/>
  <c r="E639" i="71"/>
  <c r="E637" i="71" s="1"/>
  <c r="E636" i="71"/>
  <c r="E634" i="71" s="1"/>
  <c r="E633" i="71"/>
  <c r="E623" i="71"/>
  <c r="E620" i="71" s="1"/>
  <c r="E617" i="71" s="1"/>
  <c r="E613" i="71"/>
  <c r="E610" i="71" s="1"/>
  <c r="E605" i="71"/>
  <c r="E602" i="71"/>
  <c r="E600" i="71" s="1"/>
  <c r="E599" i="71"/>
  <c r="E597" i="71" s="1"/>
  <c r="F138" i="44"/>
  <c r="F139" i="44"/>
  <c r="E575" i="71"/>
  <c r="E560" i="71"/>
  <c r="E558" i="71" s="1"/>
  <c r="E557" i="71"/>
  <c r="E553" i="71"/>
  <c r="E550" i="71" s="1"/>
  <c r="E490" i="71"/>
  <c r="E487" i="71" s="1"/>
  <c r="E537" i="71"/>
  <c r="E534" i="71" s="1"/>
  <c r="E530" i="71" s="1"/>
  <c r="E533" i="71"/>
  <c r="E512" i="71"/>
  <c r="E510" i="71" s="1"/>
  <c r="E509" i="71"/>
  <c r="E506" i="71"/>
  <c r="E504" i="71" s="1"/>
  <c r="E475" i="71"/>
  <c r="E474" i="71"/>
  <c r="E471" i="71" s="1"/>
  <c r="E467" i="71"/>
  <c r="E464" i="71" s="1"/>
  <c r="E461" i="71"/>
  <c r="E458" i="71" s="1"/>
  <c r="E443" i="71"/>
  <c r="E420" i="71"/>
  <c r="E417" i="71" s="1"/>
  <c r="E414" i="71" s="1"/>
  <c r="E15" i="71" s="1"/>
  <c r="E401" i="71"/>
  <c r="E226" i="71"/>
  <c r="E223" i="71" s="1"/>
  <c r="E221" i="71"/>
  <c r="E218" i="71" s="1"/>
  <c r="E186" i="71"/>
  <c r="E164" i="71"/>
  <c r="E161" i="71" s="1"/>
  <c r="E158" i="71" s="1"/>
  <c r="E26" i="71"/>
  <c r="F504" i="71"/>
  <c r="F399" i="71"/>
  <c r="K181" i="44"/>
  <c r="E37" i="44"/>
  <c r="E49" i="51" s="1"/>
  <c r="E47" i="51" s="1"/>
  <c r="E46" i="51" s="1"/>
  <c r="E193" i="44"/>
  <c r="C33" i="70" s="1"/>
  <c r="D33" i="70"/>
  <c r="E33" i="70"/>
  <c r="F33" i="70"/>
  <c r="G33" i="70"/>
  <c r="H33" i="70"/>
  <c r="B33" i="70"/>
  <c r="C40" i="70"/>
  <c r="D40" i="70"/>
  <c r="B40" i="70"/>
  <c r="C28" i="70"/>
  <c r="D28" i="70"/>
  <c r="E28" i="70"/>
  <c r="F28" i="70"/>
  <c r="G28" i="70"/>
  <c r="H28" i="70"/>
  <c r="I28" i="70"/>
  <c r="B28" i="70"/>
  <c r="C16" i="70"/>
  <c r="D16" i="70"/>
  <c r="E16" i="70"/>
  <c r="F16" i="70"/>
  <c r="G16" i="70"/>
  <c r="H16" i="70"/>
  <c r="I16" i="70"/>
  <c r="B16" i="70"/>
  <c r="C20" i="70"/>
  <c r="D20" i="70"/>
  <c r="E20" i="70"/>
  <c r="F20" i="70"/>
  <c r="G20" i="70"/>
  <c r="H20" i="70"/>
  <c r="I20" i="70"/>
  <c r="B20" i="70"/>
  <c r="C24" i="70"/>
  <c r="D24" i="70"/>
  <c r="E24" i="70"/>
  <c r="F24" i="70"/>
  <c r="G24" i="70"/>
  <c r="H24" i="70"/>
  <c r="I24" i="70"/>
  <c r="B24" i="70"/>
  <c r="C12" i="70"/>
  <c r="D12" i="70"/>
  <c r="E12" i="70"/>
  <c r="F12" i="70"/>
  <c r="G12" i="70"/>
  <c r="H12" i="70"/>
  <c r="B12" i="70"/>
  <c r="C7" i="70"/>
  <c r="D7" i="70"/>
  <c r="E7" i="70"/>
  <c r="F7" i="70"/>
  <c r="G7" i="70"/>
  <c r="H7" i="70"/>
  <c r="B7" i="70"/>
  <c r="A26" i="70"/>
  <c r="A22" i="70"/>
  <c r="A18" i="70"/>
  <c r="A14" i="70"/>
  <c r="A10" i="70"/>
  <c r="A3" i="70"/>
  <c r="B13" i="58"/>
  <c r="F15" i="44"/>
  <c r="K15" i="44" s="1"/>
  <c r="E32" i="44"/>
  <c r="F32" i="44"/>
  <c r="G32" i="44"/>
  <c r="H32" i="44"/>
  <c r="I32" i="44"/>
  <c r="D32" i="44"/>
  <c r="E28" i="44"/>
  <c r="F28" i="44"/>
  <c r="G28" i="44"/>
  <c r="H28" i="44"/>
  <c r="I28" i="44"/>
  <c r="D28" i="44"/>
  <c r="G206" i="44"/>
  <c r="H206" i="44"/>
  <c r="I206" i="44"/>
  <c r="J206" i="44"/>
  <c r="E29" i="69"/>
  <c r="F29" i="69"/>
  <c r="G29" i="69"/>
  <c r="H29" i="69"/>
  <c r="I29" i="69"/>
  <c r="J29" i="69"/>
  <c r="D29" i="69"/>
  <c r="E28" i="69"/>
  <c r="F28" i="69"/>
  <c r="G28" i="69"/>
  <c r="H28" i="69"/>
  <c r="I28" i="69"/>
  <c r="J28" i="69"/>
  <c r="D28" i="69"/>
  <c r="E27" i="69"/>
  <c r="F27" i="69"/>
  <c r="G27" i="69"/>
  <c r="H27" i="69"/>
  <c r="I27" i="69"/>
  <c r="J27" i="69"/>
  <c r="D27" i="69"/>
  <c r="B29" i="69"/>
  <c r="B28" i="69"/>
  <c r="B27" i="69"/>
  <c r="E19" i="69"/>
  <c r="F19" i="69"/>
  <c r="G19" i="69"/>
  <c r="H19" i="69"/>
  <c r="I19" i="69"/>
  <c r="J19" i="69"/>
  <c r="D19" i="69"/>
  <c r="B19" i="69"/>
  <c r="E11" i="69"/>
  <c r="L11" i="69" s="1"/>
  <c r="F11" i="69"/>
  <c r="M11" i="69" s="1"/>
  <c r="G11" i="69"/>
  <c r="N11" i="69" s="1"/>
  <c r="H11" i="69"/>
  <c r="O11" i="69" s="1"/>
  <c r="I11" i="69"/>
  <c r="P11" i="69" s="1"/>
  <c r="J11" i="69"/>
  <c r="Q11" i="69" s="1"/>
  <c r="D11" i="69"/>
  <c r="K11" i="69" s="1"/>
  <c r="B11" i="69"/>
  <c r="E10" i="69"/>
  <c r="L10" i="69" s="1"/>
  <c r="F10" i="69"/>
  <c r="M10" i="69" s="1"/>
  <c r="G10" i="69"/>
  <c r="N10" i="69" s="1"/>
  <c r="H10" i="69"/>
  <c r="O10" i="69" s="1"/>
  <c r="I10" i="69"/>
  <c r="P10" i="69" s="1"/>
  <c r="J10" i="69"/>
  <c r="Q10" i="69" s="1"/>
  <c r="D10" i="69"/>
  <c r="K10" i="69" s="1"/>
  <c r="B10" i="69"/>
  <c r="E7" i="69"/>
  <c r="L7" i="69" s="1"/>
  <c r="G7" i="69"/>
  <c r="N7" i="69" s="1"/>
  <c r="H7" i="69"/>
  <c r="O7" i="69" s="1"/>
  <c r="I7" i="69"/>
  <c r="P7" i="69" s="1"/>
  <c r="J7" i="69"/>
  <c r="Q7" i="69" s="1"/>
  <c r="D7" i="69"/>
  <c r="K7" i="69" s="1"/>
  <c r="B7" i="69"/>
  <c r="J9" i="69"/>
  <c r="Q9" i="69" s="1"/>
  <c r="I9" i="69"/>
  <c r="P9" i="69" s="1"/>
  <c r="H9" i="69"/>
  <c r="O9" i="69" s="1"/>
  <c r="G9" i="69"/>
  <c r="N9" i="69" s="1"/>
  <c r="F9" i="69"/>
  <c r="M9" i="69" s="1"/>
  <c r="E9" i="69"/>
  <c r="L9" i="69" s="1"/>
  <c r="D9" i="69"/>
  <c r="K9" i="69" s="1"/>
  <c r="B9" i="69"/>
  <c r="E8" i="69"/>
  <c r="L8" i="69" s="1"/>
  <c r="F8" i="69"/>
  <c r="M8" i="69" s="1"/>
  <c r="G8" i="69"/>
  <c r="N8" i="69" s="1"/>
  <c r="H8" i="69"/>
  <c r="O8" i="69" s="1"/>
  <c r="I8" i="69"/>
  <c r="P8" i="69" s="1"/>
  <c r="J8" i="69"/>
  <c r="Q8" i="69" s="1"/>
  <c r="D8" i="69"/>
  <c r="K8" i="69" s="1"/>
  <c r="B8" i="69"/>
  <c r="E7" i="67"/>
  <c r="L7" i="67" s="1"/>
  <c r="F7" i="67"/>
  <c r="M7" i="67" s="1"/>
  <c r="G7" i="67"/>
  <c r="N7" i="67" s="1"/>
  <c r="H7" i="67"/>
  <c r="O7" i="67" s="1"/>
  <c r="I7" i="67"/>
  <c r="P7" i="67" s="1"/>
  <c r="J7" i="67"/>
  <c r="Q7" i="67" s="1"/>
  <c r="D7" i="67"/>
  <c r="K7" i="67" s="1"/>
  <c r="B7" i="67"/>
  <c r="E19" i="66"/>
  <c r="E17" i="66" s="1"/>
  <c r="E16" i="66" s="1"/>
  <c r="L16" i="66" s="1"/>
  <c r="F19" i="66"/>
  <c r="G19" i="66"/>
  <c r="G17" i="66" s="1"/>
  <c r="G16" i="66" s="1"/>
  <c r="N16" i="66" s="1"/>
  <c r="H19" i="66"/>
  <c r="H17" i="66" s="1"/>
  <c r="H16" i="66" s="1"/>
  <c r="O16" i="66" s="1"/>
  <c r="I19" i="66"/>
  <c r="I17" i="66" s="1"/>
  <c r="I16" i="66" s="1"/>
  <c r="P16" i="66" s="1"/>
  <c r="J19" i="66"/>
  <c r="J17" i="66" s="1"/>
  <c r="J16" i="66" s="1"/>
  <c r="Q16" i="66" s="1"/>
  <c r="D19" i="66"/>
  <c r="D17" i="66" s="1"/>
  <c r="D16" i="66" s="1"/>
  <c r="K16" i="66" s="1"/>
  <c r="F17" i="66"/>
  <c r="F16" i="66" s="1"/>
  <c r="M16" i="66" s="1"/>
  <c r="E24" i="66"/>
  <c r="E22" i="66" s="1"/>
  <c r="E21" i="66" s="1"/>
  <c r="L21" i="66" s="1"/>
  <c r="F24" i="66"/>
  <c r="F22" i="66" s="1"/>
  <c r="F21" i="66" s="1"/>
  <c r="M21" i="66" s="1"/>
  <c r="G24" i="66"/>
  <c r="G22" i="66" s="1"/>
  <c r="G21" i="66" s="1"/>
  <c r="N21" i="66" s="1"/>
  <c r="H24" i="66"/>
  <c r="H22" i="66" s="1"/>
  <c r="H21" i="66" s="1"/>
  <c r="O21" i="66" s="1"/>
  <c r="I24" i="66"/>
  <c r="I22" i="66" s="1"/>
  <c r="I21" i="66" s="1"/>
  <c r="P21" i="66" s="1"/>
  <c r="J24" i="66"/>
  <c r="J22" i="66" s="1"/>
  <c r="J21" i="66" s="1"/>
  <c r="Q21" i="66" s="1"/>
  <c r="D24" i="66"/>
  <c r="D22" i="66" s="1"/>
  <c r="D21" i="66" s="1"/>
  <c r="K21" i="66" s="1"/>
  <c r="E9" i="66"/>
  <c r="E7" i="66" s="1"/>
  <c r="E6" i="66" s="1"/>
  <c r="L6" i="66" s="1"/>
  <c r="F9" i="66"/>
  <c r="F7" i="66" s="1"/>
  <c r="F6" i="66" s="1"/>
  <c r="M6" i="66" s="1"/>
  <c r="G9" i="66"/>
  <c r="G7" i="66" s="1"/>
  <c r="G6" i="66" s="1"/>
  <c r="N6" i="66" s="1"/>
  <c r="H9" i="66"/>
  <c r="H7" i="66" s="1"/>
  <c r="H6" i="66" s="1"/>
  <c r="O6" i="66" s="1"/>
  <c r="I9" i="66"/>
  <c r="I7" i="66" s="1"/>
  <c r="I6" i="66" s="1"/>
  <c r="P6" i="66" s="1"/>
  <c r="J9" i="66"/>
  <c r="J7" i="66" s="1"/>
  <c r="J6" i="66" s="1"/>
  <c r="Q6" i="66" s="1"/>
  <c r="D9" i="66"/>
  <c r="D7" i="66" s="1"/>
  <c r="D6" i="66" s="1"/>
  <c r="K6" i="66" s="1"/>
  <c r="K6" i="65"/>
  <c r="R6" i="65" s="1"/>
  <c r="J6" i="65"/>
  <c r="Q6" i="65" s="1"/>
  <c r="I6" i="65"/>
  <c r="P6" i="65" s="1"/>
  <c r="F6" i="65"/>
  <c r="M6" i="65" s="1"/>
  <c r="H6" i="65"/>
  <c r="O6" i="65" s="1"/>
  <c r="E6" i="65"/>
  <c r="L6" i="65" s="1"/>
  <c r="F72" i="44"/>
  <c r="F85" i="44"/>
  <c r="C27" i="72" s="1"/>
  <c r="C26" i="72" s="1"/>
  <c r="F206" i="44"/>
  <c r="B15" i="64"/>
  <c r="B12" i="64"/>
  <c r="B9" i="64"/>
  <c r="E14" i="64"/>
  <c r="F14" i="64"/>
  <c r="F13" i="64" s="1"/>
  <c r="F12" i="64" s="1"/>
  <c r="G14" i="64"/>
  <c r="H14" i="64"/>
  <c r="I14" i="64"/>
  <c r="I13" i="64" s="1"/>
  <c r="I12" i="64" s="1"/>
  <c r="J14" i="64"/>
  <c r="J13" i="64" s="1"/>
  <c r="J12" i="64" s="1"/>
  <c r="E17" i="64"/>
  <c r="E16" i="64" s="1"/>
  <c r="E15" i="64" s="1"/>
  <c r="F17" i="64"/>
  <c r="F16" i="64" s="1"/>
  <c r="F15" i="64" s="1"/>
  <c r="G17" i="64"/>
  <c r="G16" i="64" s="1"/>
  <c r="G15" i="64" s="1"/>
  <c r="H17" i="64"/>
  <c r="H16" i="64" s="1"/>
  <c r="H15" i="64" s="1"/>
  <c r="I17" i="64"/>
  <c r="I16" i="64" s="1"/>
  <c r="I15" i="64" s="1"/>
  <c r="J17" i="64"/>
  <c r="D17" i="64"/>
  <c r="D14" i="64"/>
  <c r="D13" i="64" s="1"/>
  <c r="D12" i="64" s="1"/>
  <c r="E8" i="44"/>
  <c r="E5" i="44" s="1"/>
  <c r="F8" i="44"/>
  <c r="G8" i="44"/>
  <c r="E8" i="70" s="1"/>
  <c r="H8" i="44"/>
  <c r="F8" i="70" s="1"/>
  <c r="I8" i="44"/>
  <c r="G8" i="70" s="1"/>
  <c r="J8" i="44"/>
  <c r="H8" i="70" s="1"/>
  <c r="D8" i="44"/>
  <c r="B8" i="70" s="1"/>
  <c r="K7" i="44"/>
  <c r="I7" i="70" s="1"/>
  <c r="K146" i="44"/>
  <c r="K147" i="44"/>
  <c r="E145" i="44"/>
  <c r="E144" i="44" s="1"/>
  <c r="E9" i="44" s="1"/>
  <c r="C9" i="70" s="1"/>
  <c r="C39" i="70" s="1"/>
  <c r="F145" i="44"/>
  <c r="F144" i="44" s="1"/>
  <c r="G145" i="44"/>
  <c r="G144" i="44" s="1"/>
  <c r="G9" i="44" s="1"/>
  <c r="E9" i="70" s="1"/>
  <c r="E39" i="70" s="1"/>
  <c r="H145" i="44"/>
  <c r="H144" i="44" s="1"/>
  <c r="H9" i="44" s="1"/>
  <c r="F9" i="70" s="1"/>
  <c r="F39" i="70" s="1"/>
  <c r="I145" i="44"/>
  <c r="I144" i="44" s="1"/>
  <c r="I9" i="44" s="1"/>
  <c r="G9" i="70" s="1"/>
  <c r="G39" i="70" s="1"/>
  <c r="J9" i="44"/>
  <c r="H9" i="70" s="1"/>
  <c r="H39" i="70" s="1"/>
  <c r="D145" i="44"/>
  <c r="D144" i="44" s="1"/>
  <c r="D9" i="44" s="1"/>
  <c r="B9" i="70" s="1"/>
  <c r="B39" i="70" s="1"/>
  <c r="E28" i="63"/>
  <c r="F28" i="63"/>
  <c r="G28" i="63"/>
  <c r="G25" i="63" s="1"/>
  <c r="G24" i="63" s="1"/>
  <c r="H28" i="63"/>
  <c r="H25" i="63" s="1"/>
  <c r="H24" i="63" s="1"/>
  <c r="I28" i="63"/>
  <c r="J28" i="63"/>
  <c r="J25" i="63" s="1"/>
  <c r="J24" i="63" s="1"/>
  <c r="D28" i="63"/>
  <c r="E22" i="63"/>
  <c r="E21" i="63" s="1"/>
  <c r="E20" i="63" s="1"/>
  <c r="F22" i="63"/>
  <c r="F21" i="63" s="1"/>
  <c r="F20" i="63" s="1"/>
  <c r="G22" i="63"/>
  <c r="H22" i="63"/>
  <c r="H21" i="63" s="1"/>
  <c r="H20" i="63" s="1"/>
  <c r="I22" i="63"/>
  <c r="I21" i="63" s="1"/>
  <c r="I20" i="63" s="1"/>
  <c r="J22" i="63"/>
  <c r="D22" i="63"/>
  <c r="E18" i="63"/>
  <c r="E17" i="63" s="1"/>
  <c r="E16" i="63" s="1"/>
  <c r="F18" i="63"/>
  <c r="G18" i="63"/>
  <c r="G17" i="63" s="1"/>
  <c r="G16" i="63" s="1"/>
  <c r="H18" i="63"/>
  <c r="H17" i="63" s="1"/>
  <c r="H16" i="63" s="1"/>
  <c r="I18" i="63"/>
  <c r="I17" i="63" s="1"/>
  <c r="I16" i="63" s="1"/>
  <c r="J18" i="63"/>
  <c r="J17" i="63" s="1"/>
  <c r="J16" i="63" s="1"/>
  <c r="D18" i="63"/>
  <c r="D17" i="63" s="1"/>
  <c r="D16" i="63" s="1"/>
  <c r="E36" i="62"/>
  <c r="E35" i="62" s="1"/>
  <c r="E34" i="62" s="1"/>
  <c r="F36" i="62"/>
  <c r="F35" i="62" s="1"/>
  <c r="F34" i="62" s="1"/>
  <c r="G36" i="62"/>
  <c r="G35" i="62" s="1"/>
  <c r="G34" i="62" s="1"/>
  <c r="H36" i="62"/>
  <c r="H35" i="62" s="1"/>
  <c r="H34" i="62" s="1"/>
  <c r="I36" i="62"/>
  <c r="I35" i="62" s="1"/>
  <c r="I34" i="62" s="1"/>
  <c r="J36" i="62"/>
  <c r="J35" i="62" s="1"/>
  <c r="J34" i="62" s="1"/>
  <c r="D36" i="62"/>
  <c r="D35" i="62" s="1"/>
  <c r="D34" i="62" s="1"/>
  <c r="E32" i="62"/>
  <c r="E31" i="62" s="1"/>
  <c r="E30" i="62" s="1"/>
  <c r="F32" i="62"/>
  <c r="F31" i="62" s="1"/>
  <c r="F30" i="62" s="1"/>
  <c r="G32" i="62"/>
  <c r="G31" i="62" s="1"/>
  <c r="G30" i="62" s="1"/>
  <c r="H32" i="62"/>
  <c r="H31" i="62" s="1"/>
  <c r="H30" i="62" s="1"/>
  <c r="I32" i="62"/>
  <c r="I31" i="62" s="1"/>
  <c r="I30" i="62" s="1"/>
  <c r="J32" i="62"/>
  <c r="J31" i="62" s="1"/>
  <c r="J30" i="62" s="1"/>
  <c r="D32" i="62"/>
  <c r="D31" i="62" s="1"/>
  <c r="D30" i="62" s="1"/>
  <c r="E28" i="62"/>
  <c r="E27" i="62" s="1"/>
  <c r="E26" i="62" s="1"/>
  <c r="F28" i="62"/>
  <c r="F27" i="62" s="1"/>
  <c r="F26" i="62" s="1"/>
  <c r="G28" i="62"/>
  <c r="G27" i="62" s="1"/>
  <c r="G26" i="62" s="1"/>
  <c r="E25" i="62"/>
  <c r="E23" i="62" s="1"/>
  <c r="E22" i="62" s="1"/>
  <c r="F25" i="62"/>
  <c r="F23" i="62" s="1"/>
  <c r="F22" i="62" s="1"/>
  <c r="E20" i="62"/>
  <c r="F20" i="62"/>
  <c r="G20" i="62"/>
  <c r="E17" i="62"/>
  <c r="E15" i="62" s="1"/>
  <c r="E14" i="62" s="1"/>
  <c r="F17" i="62"/>
  <c r="F15" i="62" s="1"/>
  <c r="F14" i="62" s="1"/>
  <c r="B34" i="62"/>
  <c r="B30" i="62"/>
  <c r="B26" i="62"/>
  <c r="B22" i="62"/>
  <c r="B18" i="62"/>
  <c r="B14" i="62"/>
  <c r="B10" i="62"/>
  <c r="E17" i="61"/>
  <c r="E15" i="61" s="1"/>
  <c r="E14" i="61" s="1"/>
  <c r="F17" i="61"/>
  <c r="F13" i="61" s="1"/>
  <c r="G17" i="61"/>
  <c r="G15" i="61" s="1"/>
  <c r="G14" i="61" s="1"/>
  <c r="H17" i="61"/>
  <c r="H13" i="61" s="1"/>
  <c r="I17" i="61"/>
  <c r="J17" i="61"/>
  <c r="J13" i="61" s="1"/>
  <c r="J11" i="61" s="1"/>
  <c r="J10" i="61" s="1"/>
  <c r="D17" i="61"/>
  <c r="D13" i="61" s="1"/>
  <c r="D11" i="61" s="1"/>
  <c r="D10" i="61" s="1"/>
  <c r="B14" i="61"/>
  <c r="B10" i="61"/>
  <c r="B14" i="60"/>
  <c r="B10" i="60"/>
  <c r="E16" i="60"/>
  <c r="F16" i="60"/>
  <c r="F15" i="60" s="1"/>
  <c r="F14" i="60" s="1"/>
  <c r="G16" i="60"/>
  <c r="H16" i="60"/>
  <c r="I16" i="60"/>
  <c r="J16" i="60"/>
  <c r="J15" i="60" s="1"/>
  <c r="J14" i="60" s="1"/>
  <c r="D16" i="60"/>
  <c r="B58" i="59"/>
  <c r="B54" i="59"/>
  <c r="B50" i="59"/>
  <c r="B46" i="59"/>
  <c r="B42" i="59"/>
  <c r="B38" i="59"/>
  <c r="B34" i="59"/>
  <c r="B30" i="59"/>
  <c r="B26" i="59"/>
  <c r="B22" i="59"/>
  <c r="B18" i="59"/>
  <c r="B14" i="59"/>
  <c r="B10" i="59"/>
  <c r="E60" i="59"/>
  <c r="E56" i="59" s="1"/>
  <c r="E55" i="59" s="1"/>
  <c r="E54" i="59" s="1"/>
  <c r="F60" i="59"/>
  <c r="G60" i="59"/>
  <c r="H60" i="59"/>
  <c r="H59" i="59" s="1"/>
  <c r="H58" i="59" s="1"/>
  <c r="I60" i="59"/>
  <c r="I59" i="59" s="1"/>
  <c r="I58" i="59" s="1"/>
  <c r="J60" i="59"/>
  <c r="J59" i="59" s="1"/>
  <c r="J58" i="59" s="1"/>
  <c r="D60" i="59"/>
  <c r="D59" i="59" s="1"/>
  <c r="D58" i="59" s="1"/>
  <c r="E52" i="59"/>
  <c r="E51" i="59" s="1"/>
  <c r="E50" i="59" s="1"/>
  <c r="F52" i="59"/>
  <c r="F51" i="59" s="1"/>
  <c r="F50" i="59" s="1"/>
  <c r="G52" i="59"/>
  <c r="G51" i="59" s="1"/>
  <c r="G50" i="59" s="1"/>
  <c r="H52" i="59"/>
  <c r="H51" i="59" s="1"/>
  <c r="H50" i="59" s="1"/>
  <c r="I52" i="59"/>
  <c r="I51" i="59" s="1"/>
  <c r="I50" i="59" s="1"/>
  <c r="J52" i="59"/>
  <c r="J51" i="59" s="1"/>
  <c r="J50" i="59" s="1"/>
  <c r="D52" i="59"/>
  <c r="D51" i="59" s="1"/>
  <c r="D50" i="59" s="1"/>
  <c r="E48" i="59"/>
  <c r="E47" i="59" s="1"/>
  <c r="E46" i="59" s="1"/>
  <c r="F48" i="59"/>
  <c r="F47" i="59" s="1"/>
  <c r="F46" i="59" s="1"/>
  <c r="G48" i="59"/>
  <c r="G47" i="59" s="1"/>
  <c r="G46" i="59" s="1"/>
  <c r="H48" i="59"/>
  <c r="H47" i="59" s="1"/>
  <c r="H46" i="59" s="1"/>
  <c r="I48" i="59"/>
  <c r="I47" i="59" s="1"/>
  <c r="I46" i="59" s="1"/>
  <c r="J48" i="59"/>
  <c r="J47" i="59" s="1"/>
  <c r="J46" i="59" s="1"/>
  <c r="D48" i="59"/>
  <c r="D47" i="59" s="1"/>
  <c r="D46" i="59" s="1"/>
  <c r="E44" i="59"/>
  <c r="E43" i="59" s="1"/>
  <c r="E42" i="59" s="1"/>
  <c r="F44" i="59"/>
  <c r="F43" i="59" s="1"/>
  <c r="F42" i="59" s="1"/>
  <c r="G44" i="59"/>
  <c r="G43" i="59" s="1"/>
  <c r="G42" i="59" s="1"/>
  <c r="H44" i="59"/>
  <c r="H43" i="59" s="1"/>
  <c r="H42" i="59" s="1"/>
  <c r="I44" i="59"/>
  <c r="I43" i="59" s="1"/>
  <c r="I42" i="59" s="1"/>
  <c r="J44" i="59"/>
  <c r="J43" i="59" s="1"/>
  <c r="J42" i="59" s="1"/>
  <c r="D44" i="59"/>
  <c r="D43" i="59" s="1"/>
  <c r="D42" i="59" s="1"/>
  <c r="E40" i="59"/>
  <c r="E39" i="59" s="1"/>
  <c r="E38" i="59" s="1"/>
  <c r="F40" i="59"/>
  <c r="F39" i="59" s="1"/>
  <c r="F38" i="59" s="1"/>
  <c r="G40" i="59"/>
  <c r="G39" i="59" s="1"/>
  <c r="G38" i="59" s="1"/>
  <c r="H40" i="59"/>
  <c r="H39" i="59" s="1"/>
  <c r="H38" i="59" s="1"/>
  <c r="I40" i="59"/>
  <c r="I39" i="59" s="1"/>
  <c r="I38" i="59" s="1"/>
  <c r="J40" i="59"/>
  <c r="J39" i="59" s="1"/>
  <c r="J38" i="59" s="1"/>
  <c r="D40" i="59"/>
  <c r="D39" i="59" s="1"/>
  <c r="D38" i="59" s="1"/>
  <c r="E32" i="59"/>
  <c r="E31" i="59" s="1"/>
  <c r="E30" i="59" s="1"/>
  <c r="F32" i="59"/>
  <c r="F31" i="59" s="1"/>
  <c r="F30" i="59" s="1"/>
  <c r="G32" i="59"/>
  <c r="G31" i="59" s="1"/>
  <c r="G30" i="59" s="1"/>
  <c r="H32" i="59"/>
  <c r="H31" i="59" s="1"/>
  <c r="H30" i="59" s="1"/>
  <c r="I32" i="59"/>
  <c r="I31" i="59" s="1"/>
  <c r="I30" i="59" s="1"/>
  <c r="J32" i="59"/>
  <c r="J31" i="59" s="1"/>
  <c r="J30" i="59" s="1"/>
  <c r="D32" i="59"/>
  <c r="D31" i="59" s="1"/>
  <c r="D30" i="59" s="1"/>
  <c r="E28" i="59"/>
  <c r="F28" i="59"/>
  <c r="F27" i="59" s="1"/>
  <c r="F26" i="59" s="1"/>
  <c r="G28" i="59"/>
  <c r="G27" i="59" s="1"/>
  <c r="G26" i="59" s="1"/>
  <c r="H28" i="59"/>
  <c r="H27" i="59" s="1"/>
  <c r="H26" i="59" s="1"/>
  <c r="I28" i="59"/>
  <c r="I27" i="59" s="1"/>
  <c r="I26" i="59" s="1"/>
  <c r="J28" i="59"/>
  <c r="J27" i="59" s="1"/>
  <c r="J26" i="59" s="1"/>
  <c r="D28" i="59"/>
  <c r="D27" i="59" s="1"/>
  <c r="D26" i="59" s="1"/>
  <c r="E24" i="59"/>
  <c r="E23" i="59" s="1"/>
  <c r="E22" i="59" s="1"/>
  <c r="F24" i="59"/>
  <c r="G24" i="59"/>
  <c r="G23" i="59" s="1"/>
  <c r="G22" i="59" s="1"/>
  <c r="H24" i="59"/>
  <c r="H23" i="59" s="1"/>
  <c r="H22" i="59" s="1"/>
  <c r="I24" i="59"/>
  <c r="I23" i="59" s="1"/>
  <c r="I22" i="59" s="1"/>
  <c r="J24" i="59"/>
  <c r="J23" i="59" s="1"/>
  <c r="J22" i="59" s="1"/>
  <c r="D24" i="59"/>
  <c r="D23" i="59" s="1"/>
  <c r="D22" i="59" s="1"/>
  <c r="F20" i="59"/>
  <c r="F19" i="59" s="1"/>
  <c r="F18" i="59" s="1"/>
  <c r="G20" i="59"/>
  <c r="G19" i="59" s="1"/>
  <c r="G18" i="59" s="1"/>
  <c r="H20" i="59"/>
  <c r="H19" i="59" s="1"/>
  <c r="H18" i="59" s="1"/>
  <c r="I20" i="59"/>
  <c r="I19" i="59" s="1"/>
  <c r="I18" i="59" s="1"/>
  <c r="J20" i="59"/>
  <c r="E16" i="59"/>
  <c r="E15" i="59" s="1"/>
  <c r="E14" i="59" s="1"/>
  <c r="F16" i="59"/>
  <c r="F15" i="59" s="1"/>
  <c r="F14" i="59" s="1"/>
  <c r="G16" i="59"/>
  <c r="G15" i="59" s="1"/>
  <c r="G14" i="59" s="1"/>
  <c r="H16" i="59"/>
  <c r="H15" i="59" s="1"/>
  <c r="H14" i="59" s="1"/>
  <c r="I16" i="59"/>
  <c r="I15" i="59" s="1"/>
  <c r="I14" i="59" s="1"/>
  <c r="J16" i="59"/>
  <c r="J15" i="59" s="1"/>
  <c r="J14" i="59" s="1"/>
  <c r="D16" i="59"/>
  <c r="D15" i="59" s="1"/>
  <c r="D14" i="59" s="1"/>
  <c r="B71" i="58"/>
  <c r="B67" i="58"/>
  <c r="B63" i="58"/>
  <c r="B59" i="58"/>
  <c r="B55" i="58"/>
  <c r="B51" i="58"/>
  <c r="B47" i="58"/>
  <c r="B43" i="58"/>
  <c r="B39" i="58"/>
  <c r="B35" i="58"/>
  <c r="B31" i="58"/>
  <c r="B27" i="58"/>
  <c r="B22" i="58"/>
  <c r="B18" i="58"/>
  <c r="E73" i="58"/>
  <c r="E72" i="58" s="1"/>
  <c r="E71" i="58" s="1"/>
  <c r="F73" i="58"/>
  <c r="F72" i="58" s="1"/>
  <c r="F71" i="58" s="1"/>
  <c r="G73" i="58"/>
  <c r="G72" i="58" s="1"/>
  <c r="G71" i="58" s="1"/>
  <c r="H73" i="58"/>
  <c r="H72" i="58" s="1"/>
  <c r="H71" i="58" s="1"/>
  <c r="I73" i="58"/>
  <c r="I72" i="58" s="1"/>
  <c r="I71" i="58" s="1"/>
  <c r="J73" i="58"/>
  <c r="J72" i="58" s="1"/>
  <c r="J71" i="58" s="1"/>
  <c r="D73" i="58"/>
  <c r="D72" i="58" s="1"/>
  <c r="D71" i="58" s="1"/>
  <c r="E69" i="58"/>
  <c r="E68" i="58" s="1"/>
  <c r="E67" i="58" s="1"/>
  <c r="F69" i="58"/>
  <c r="G69" i="58"/>
  <c r="G68" i="58" s="1"/>
  <c r="G67" i="58" s="1"/>
  <c r="H69" i="58"/>
  <c r="H68" i="58" s="1"/>
  <c r="H67" i="58" s="1"/>
  <c r="I69" i="58"/>
  <c r="I68" i="58" s="1"/>
  <c r="I67" i="58" s="1"/>
  <c r="J69" i="58"/>
  <c r="D69" i="58"/>
  <c r="D68" i="58" s="1"/>
  <c r="D67" i="58" s="1"/>
  <c r="E61" i="58"/>
  <c r="F61" i="58"/>
  <c r="F60" i="58" s="1"/>
  <c r="F59" i="58" s="1"/>
  <c r="G61" i="58"/>
  <c r="H61" i="58"/>
  <c r="H60" i="58" s="1"/>
  <c r="H59" i="58" s="1"/>
  <c r="I61" i="58"/>
  <c r="I60" i="58" s="1"/>
  <c r="I59" i="58" s="1"/>
  <c r="J61" i="58"/>
  <c r="J60" i="58" s="1"/>
  <c r="J59" i="58" s="1"/>
  <c r="D61" i="58"/>
  <c r="D57" i="58" s="1"/>
  <c r="D56" i="58" s="1"/>
  <c r="D55" i="58" s="1"/>
  <c r="E53" i="58"/>
  <c r="E52" i="58" s="1"/>
  <c r="E51" i="58" s="1"/>
  <c r="F53" i="58"/>
  <c r="G53" i="58"/>
  <c r="G52" i="58" s="1"/>
  <c r="G51" i="58" s="1"/>
  <c r="H53" i="58"/>
  <c r="H52" i="58" s="1"/>
  <c r="H51" i="58" s="1"/>
  <c r="I53" i="58"/>
  <c r="I52" i="58" s="1"/>
  <c r="I51" i="58" s="1"/>
  <c r="J53" i="58"/>
  <c r="J52" i="58" s="1"/>
  <c r="J51" i="58" s="1"/>
  <c r="D53" i="58"/>
  <c r="E45" i="58"/>
  <c r="E44" i="58" s="1"/>
  <c r="E43" i="58" s="1"/>
  <c r="F45" i="58"/>
  <c r="F44" i="58" s="1"/>
  <c r="F43" i="58" s="1"/>
  <c r="G45" i="58"/>
  <c r="H45" i="58"/>
  <c r="H44" i="58" s="1"/>
  <c r="H43" i="58" s="1"/>
  <c r="I45" i="58"/>
  <c r="J45" i="58"/>
  <c r="J44" i="58" s="1"/>
  <c r="J43" i="58" s="1"/>
  <c r="D45" i="58"/>
  <c r="D41" i="58" s="1"/>
  <c r="D40" i="58" s="1"/>
  <c r="D39" i="58" s="1"/>
  <c r="E37" i="58"/>
  <c r="E36" i="58" s="1"/>
  <c r="E35" i="58" s="1"/>
  <c r="F37" i="58"/>
  <c r="F36" i="58" s="1"/>
  <c r="F35" i="58" s="1"/>
  <c r="G37" i="58"/>
  <c r="G36" i="58" s="1"/>
  <c r="G35" i="58" s="1"/>
  <c r="H37" i="58"/>
  <c r="H36" i="58" s="1"/>
  <c r="H35" i="58" s="1"/>
  <c r="I37" i="58"/>
  <c r="I36" i="58" s="1"/>
  <c r="I35" i="58" s="1"/>
  <c r="J37" i="58"/>
  <c r="J36" i="58" s="1"/>
  <c r="J35" i="58" s="1"/>
  <c r="D37" i="58"/>
  <c r="D36" i="58" s="1"/>
  <c r="D35" i="58" s="1"/>
  <c r="E33" i="58"/>
  <c r="E32" i="58" s="1"/>
  <c r="E31" i="58" s="1"/>
  <c r="F33" i="58"/>
  <c r="F32" i="58" s="1"/>
  <c r="F31" i="58" s="1"/>
  <c r="G33" i="58"/>
  <c r="G32" i="58" s="1"/>
  <c r="G31" i="58" s="1"/>
  <c r="H33" i="58"/>
  <c r="H32" i="58" s="1"/>
  <c r="H31" i="58" s="1"/>
  <c r="I33" i="58"/>
  <c r="I32" i="58" s="1"/>
  <c r="I31" i="58" s="1"/>
  <c r="J33" i="58"/>
  <c r="J32" i="58" s="1"/>
  <c r="J31" i="58" s="1"/>
  <c r="D33" i="58"/>
  <c r="E17" i="58"/>
  <c r="E10" i="58" s="1"/>
  <c r="F17" i="58"/>
  <c r="F10" i="58" s="1"/>
  <c r="G17" i="58"/>
  <c r="G10" i="58" s="1"/>
  <c r="H17" i="58"/>
  <c r="H10" i="58" s="1"/>
  <c r="I17" i="58"/>
  <c r="I10" i="58" s="1"/>
  <c r="J17" i="58"/>
  <c r="J10" i="58" s="1"/>
  <c r="D17" i="58"/>
  <c r="D10" i="58" s="1"/>
  <c r="E23" i="58"/>
  <c r="F23" i="58"/>
  <c r="F22" i="58" s="1"/>
  <c r="G23" i="58"/>
  <c r="G22" i="58" s="1"/>
  <c r="H23" i="58"/>
  <c r="I23" i="58"/>
  <c r="I22" i="58" s="1"/>
  <c r="J23" i="58"/>
  <c r="G24" i="58"/>
  <c r="D23" i="58"/>
  <c r="E20" i="58"/>
  <c r="E19" i="58" s="1"/>
  <c r="E18" i="58" s="1"/>
  <c r="G20" i="58"/>
  <c r="G19" i="58" s="1"/>
  <c r="G18" i="58" s="1"/>
  <c r="H20" i="58"/>
  <c r="H19" i="58" s="1"/>
  <c r="H18" i="58" s="1"/>
  <c r="I20" i="58"/>
  <c r="I19" i="58" s="1"/>
  <c r="I18" i="58" s="1"/>
  <c r="J20" i="58"/>
  <c r="J19" i="58" s="1"/>
  <c r="J18" i="58" s="1"/>
  <c r="D20" i="58"/>
  <c r="D19" i="58" s="1"/>
  <c r="D18" i="58" s="1"/>
  <c r="E24" i="54"/>
  <c r="E23" i="54" s="1"/>
  <c r="E22" i="54" s="1"/>
  <c r="F24" i="54"/>
  <c r="F23" i="54" s="1"/>
  <c r="F22" i="54" s="1"/>
  <c r="G24" i="54"/>
  <c r="G23" i="54" s="1"/>
  <c r="G22" i="54" s="1"/>
  <c r="H24" i="54"/>
  <c r="H23" i="54" s="1"/>
  <c r="H22" i="54" s="1"/>
  <c r="I24" i="54"/>
  <c r="I23" i="54" s="1"/>
  <c r="I22" i="54" s="1"/>
  <c r="J24" i="54"/>
  <c r="J23" i="54" s="1"/>
  <c r="J22" i="54" s="1"/>
  <c r="D24" i="54"/>
  <c r="D23" i="54" s="1"/>
  <c r="D22" i="54" s="1"/>
  <c r="E20" i="54"/>
  <c r="E19" i="54" s="1"/>
  <c r="E18" i="54" s="1"/>
  <c r="G20" i="54"/>
  <c r="G19" i="54" s="1"/>
  <c r="G18" i="54" s="1"/>
  <c r="H20" i="54"/>
  <c r="H19" i="54" s="1"/>
  <c r="H18" i="54" s="1"/>
  <c r="I20" i="54"/>
  <c r="I19" i="54" s="1"/>
  <c r="I18" i="54" s="1"/>
  <c r="J20" i="54"/>
  <c r="J19" i="54" s="1"/>
  <c r="J18" i="54" s="1"/>
  <c r="D20" i="54"/>
  <c r="D19" i="54" s="1"/>
  <c r="D18" i="54" s="1"/>
  <c r="E16" i="54"/>
  <c r="F16" i="54"/>
  <c r="F15" i="54" s="1"/>
  <c r="F14" i="54" s="1"/>
  <c r="G16" i="54"/>
  <c r="H16" i="54"/>
  <c r="H15" i="54" s="1"/>
  <c r="H14" i="54" s="1"/>
  <c r="I16" i="54"/>
  <c r="J16" i="54"/>
  <c r="J15" i="54" s="1"/>
  <c r="J14" i="54" s="1"/>
  <c r="D16" i="54"/>
  <c r="D15" i="54" s="1"/>
  <c r="D14" i="54" s="1"/>
  <c r="B22" i="54"/>
  <c r="B18" i="54"/>
  <c r="B14" i="54"/>
  <c r="B10" i="54"/>
  <c r="B14" i="53"/>
  <c r="B10" i="53"/>
  <c r="E16" i="53"/>
  <c r="E15" i="53" s="1"/>
  <c r="E14" i="53" s="1"/>
  <c r="G16" i="53"/>
  <c r="G15" i="53" s="1"/>
  <c r="G14" i="53" s="1"/>
  <c r="H16" i="53"/>
  <c r="H12" i="53" s="1"/>
  <c r="I16" i="53"/>
  <c r="I15" i="53" s="1"/>
  <c r="I14" i="53" s="1"/>
  <c r="J16" i="53"/>
  <c r="J15" i="53" s="1"/>
  <c r="J14" i="53" s="1"/>
  <c r="D16" i="53"/>
  <c r="D15" i="53" s="1"/>
  <c r="D14" i="53" s="1"/>
  <c r="B74" i="52"/>
  <c r="B70" i="52"/>
  <c r="B66" i="52"/>
  <c r="B62" i="52"/>
  <c r="B58" i="52"/>
  <c r="B54" i="52"/>
  <c r="B50" i="52"/>
  <c r="B46" i="52"/>
  <c r="B42" i="52"/>
  <c r="B38" i="52"/>
  <c r="B34" i="52"/>
  <c r="B30" i="52"/>
  <c r="B26" i="52"/>
  <c r="B22" i="52"/>
  <c r="B18" i="52"/>
  <c r="B14" i="52"/>
  <c r="B10" i="52"/>
  <c r="E77" i="52"/>
  <c r="E75" i="52" s="1"/>
  <c r="E74" i="52" s="1"/>
  <c r="F77" i="52"/>
  <c r="G77" i="52"/>
  <c r="G75" i="52" s="1"/>
  <c r="G74" i="52" s="1"/>
  <c r="H77" i="52"/>
  <c r="H75" i="52" s="1"/>
  <c r="H74" i="52" s="1"/>
  <c r="I77" i="52"/>
  <c r="I75" i="52" s="1"/>
  <c r="I74" i="52" s="1"/>
  <c r="J77" i="52"/>
  <c r="D77" i="52"/>
  <c r="D75" i="52" s="1"/>
  <c r="D74" i="52" s="1"/>
  <c r="E73" i="52"/>
  <c r="E71" i="52" s="1"/>
  <c r="E70" i="52" s="1"/>
  <c r="F73" i="52"/>
  <c r="F71" i="52" s="1"/>
  <c r="F70" i="52" s="1"/>
  <c r="G73" i="52"/>
  <c r="G71" i="52" s="1"/>
  <c r="G70" i="52" s="1"/>
  <c r="H73" i="52"/>
  <c r="H71" i="52" s="1"/>
  <c r="H70" i="52" s="1"/>
  <c r="I73" i="52"/>
  <c r="J73" i="52"/>
  <c r="J71" i="52" s="1"/>
  <c r="J70" i="52" s="1"/>
  <c r="D73" i="52"/>
  <c r="D71" i="52" s="1"/>
  <c r="D70" i="52" s="1"/>
  <c r="E68" i="52"/>
  <c r="E67" i="52" s="1"/>
  <c r="E66" i="52" s="1"/>
  <c r="D68" i="52"/>
  <c r="D67" i="52" s="1"/>
  <c r="D66" i="52" s="1"/>
  <c r="E64" i="52"/>
  <c r="E63" i="52" s="1"/>
  <c r="E62" i="52" s="1"/>
  <c r="G64" i="52"/>
  <c r="G63" i="52" s="1"/>
  <c r="G62" i="52" s="1"/>
  <c r="H64" i="52"/>
  <c r="H63" i="52" s="1"/>
  <c r="H62" i="52" s="1"/>
  <c r="I64" i="52"/>
  <c r="J64" i="52"/>
  <c r="J63" i="52" s="1"/>
  <c r="J62" i="52" s="1"/>
  <c r="D64" i="52"/>
  <c r="D63" i="52" s="1"/>
  <c r="D62" i="52" s="1"/>
  <c r="E57" i="52"/>
  <c r="E55" i="52" s="1"/>
  <c r="E54" i="52" s="1"/>
  <c r="F57" i="52"/>
  <c r="G57" i="52"/>
  <c r="G55" i="52" s="1"/>
  <c r="G54" i="52" s="1"/>
  <c r="H57" i="52"/>
  <c r="H53" i="52" s="1"/>
  <c r="H51" i="52" s="1"/>
  <c r="H50" i="52" s="1"/>
  <c r="I57" i="52"/>
  <c r="I55" i="52" s="1"/>
  <c r="I54" i="52" s="1"/>
  <c r="J57" i="52"/>
  <c r="D57" i="52"/>
  <c r="D53" i="52" s="1"/>
  <c r="E49" i="52"/>
  <c r="E47" i="52" s="1"/>
  <c r="E46" i="52" s="1"/>
  <c r="F49" i="52"/>
  <c r="F47" i="52" s="1"/>
  <c r="F46" i="52" s="1"/>
  <c r="G49" i="52"/>
  <c r="G47" i="52" s="1"/>
  <c r="G46" i="52" s="1"/>
  <c r="H49" i="52"/>
  <c r="H47" i="52" s="1"/>
  <c r="H46" i="52" s="1"/>
  <c r="I49" i="52"/>
  <c r="I47" i="52" s="1"/>
  <c r="I46" i="52" s="1"/>
  <c r="J49" i="52"/>
  <c r="J47" i="52" s="1"/>
  <c r="J46" i="52" s="1"/>
  <c r="D49" i="52"/>
  <c r="D47" i="52" s="1"/>
  <c r="D46" i="52" s="1"/>
  <c r="E44" i="52"/>
  <c r="E43" i="52" s="1"/>
  <c r="E42" i="52" s="1"/>
  <c r="F44" i="52"/>
  <c r="F43" i="52" s="1"/>
  <c r="F42" i="52" s="1"/>
  <c r="G44" i="52"/>
  <c r="G43" i="52" s="1"/>
  <c r="G42" i="52" s="1"/>
  <c r="H44" i="52"/>
  <c r="H43" i="52" s="1"/>
  <c r="H42" i="52" s="1"/>
  <c r="I44" i="52"/>
  <c r="I43" i="52" s="1"/>
  <c r="I42" i="52" s="1"/>
  <c r="J44" i="52"/>
  <c r="J43" i="52" s="1"/>
  <c r="J42" i="52" s="1"/>
  <c r="D44" i="52"/>
  <c r="D43" i="52" s="1"/>
  <c r="D42" i="52" s="1"/>
  <c r="E41" i="52"/>
  <c r="E39" i="52" s="1"/>
  <c r="E38" i="52" s="1"/>
  <c r="F41" i="52"/>
  <c r="G41" i="52"/>
  <c r="G39" i="52" s="1"/>
  <c r="G38" i="52" s="1"/>
  <c r="H41" i="52"/>
  <c r="I41" i="52"/>
  <c r="I39" i="52" s="1"/>
  <c r="I38" i="52" s="1"/>
  <c r="J41" i="52"/>
  <c r="D41" i="52"/>
  <c r="D39" i="52" s="1"/>
  <c r="D38" i="52" s="1"/>
  <c r="E36" i="52"/>
  <c r="E35" i="52" s="1"/>
  <c r="E34" i="52" s="1"/>
  <c r="F36" i="52"/>
  <c r="F35" i="52" s="1"/>
  <c r="F34" i="52" s="1"/>
  <c r="G36" i="52"/>
  <c r="G35" i="52" s="1"/>
  <c r="G34" i="52" s="1"/>
  <c r="H36" i="52"/>
  <c r="H35" i="52" s="1"/>
  <c r="H34" i="52" s="1"/>
  <c r="I36" i="52"/>
  <c r="I35" i="52" s="1"/>
  <c r="I34" i="52" s="1"/>
  <c r="J36" i="52"/>
  <c r="J35" i="52" s="1"/>
  <c r="J34" i="52" s="1"/>
  <c r="D36" i="52"/>
  <c r="D35" i="52" s="1"/>
  <c r="D34" i="52" s="1"/>
  <c r="E32" i="52"/>
  <c r="E31" i="52" s="1"/>
  <c r="E30" i="52" s="1"/>
  <c r="F32" i="52"/>
  <c r="F31" i="52" s="1"/>
  <c r="F30" i="52" s="1"/>
  <c r="G32" i="52"/>
  <c r="G31" i="52" s="1"/>
  <c r="G30" i="52" s="1"/>
  <c r="H32" i="52"/>
  <c r="H31" i="52" s="1"/>
  <c r="H30" i="52" s="1"/>
  <c r="I32" i="52"/>
  <c r="I31" i="52" s="1"/>
  <c r="I30" i="52" s="1"/>
  <c r="J32" i="52"/>
  <c r="J31" i="52" s="1"/>
  <c r="J30" i="52" s="1"/>
  <c r="D32" i="52"/>
  <c r="D31" i="52" s="1"/>
  <c r="D30" i="52" s="1"/>
  <c r="E28" i="52"/>
  <c r="E27" i="52" s="1"/>
  <c r="E26" i="52" s="1"/>
  <c r="F28" i="52"/>
  <c r="F27" i="52" s="1"/>
  <c r="F26" i="52" s="1"/>
  <c r="G28" i="52"/>
  <c r="G27" i="52" s="1"/>
  <c r="G26" i="52" s="1"/>
  <c r="H28" i="52"/>
  <c r="H27" i="52" s="1"/>
  <c r="H26" i="52" s="1"/>
  <c r="I28" i="52"/>
  <c r="I27" i="52" s="1"/>
  <c r="I26" i="52" s="1"/>
  <c r="J28" i="52"/>
  <c r="J27" i="52" s="1"/>
  <c r="J26" i="52" s="1"/>
  <c r="D28" i="52"/>
  <c r="D27" i="52" s="1"/>
  <c r="D26" i="52" s="1"/>
  <c r="E24" i="52"/>
  <c r="E23" i="52" s="1"/>
  <c r="E22" i="52" s="1"/>
  <c r="G24" i="52"/>
  <c r="G23" i="52" s="1"/>
  <c r="G22" i="52" s="1"/>
  <c r="H24" i="52"/>
  <c r="H23" i="52" s="1"/>
  <c r="H22" i="52" s="1"/>
  <c r="I24" i="52"/>
  <c r="I23" i="52" s="1"/>
  <c r="I22" i="52" s="1"/>
  <c r="J24" i="52"/>
  <c r="J23" i="52" s="1"/>
  <c r="J22" i="52" s="1"/>
  <c r="D24" i="52"/>
  <c r="D23" i="52" s="1"/>
  <c r="D22" i="52" s="1"/>
  <c r="E20" i="52"/>
  <c r="E19" i="52" s="1"/>
  <c r="E18" i="52" s="1"/>
  <c r="F20" i="52"/>
  <c r="F19" i="52" s="1"/>
  <c r="F18" i="52" s="1"/>
  <c r="G20" i="52"/>
  <c r="G19" i="52" s="1"/>
  <c r="G18" i="52" s="1"/>
  <c r="H20" i="52"/>
  <c r="H19" i="52" s="1"/>
  <c r="H18" i="52" s="1"/>
  <c r="I20" i="52"/>
  <c r="I19" i="52" s="1"/>
  <c r="I18" i="52" s="1"/>
  <c r="J20" i="52"/>
  <c r="J19" i="52" s="1"/>
  <c r="J18" i="52" s="1"/>
  <c r="D20" i="52"/>
  <c r="D19" i="52" s="1"/>
  <c r="D18" i="52" s="1"/>
  <c r="G16" i="52"/>
  <c r="G15" i="52" s="1"/>
  <c r="G14" i="52" s="1"/>
  <c r="H16" i="52"/>
  <c r="I16" i="52"/>
  <c r="I15" i="52" s="1"/>
  <c r="I14" i="52" s="1"/>
  <c r="J16" i="52"/>
  <c r="J15" i="52" s="1"/>
  <c r="J14" i="52" s="1"/>
  <c r="E56" i="50"/>
  <c r="E55" i="50" s="1"/>
  <c r="E54" i="50" s="1"/>
  <c r="F56" i="50"/>
  <c r="F55" i="50" s="1"/>
  <c r="F54" i="50" s="1"/>
  <c r="G56" i="50"/>
  <c r="G55" i="50" s="1"/>
  <c r="G54" i="50" s="1"/>
  <c r="H56" i="50"/>
  <c r="H55" i="50" s="1"/>
  <c r="H54" i="50" s="1"/>
  <c r="I56" i="50"/>
  <c r="I55" i="50" s="1"/>
  <c r="I54" i="50" s="1"/>
  <c r="J56" i="50"/>
  <c r="J55" i="50" s="1"/>
  <c r="J54" i="50" s="1"/>
  <c r="D56" i="50"/>
  <c r="D55" i="50" s="1"/>
  <c r="D54" i="50" s="1"/>
  <c r="E52" i="50"/>
  <c r="E51" i="50" s="1"/>
  <c r="E50" i="50" s="1"/>
  <c r="F52" i="50"/>
  <c r="F51" i="50" s="1"/>
  <c r="F50" i="50" s="1"/>
  <c r="G52" i="50"/>
  <c r="G51" i="50" s="1"/>
  <c r="G50" i="50" s="1"/>
  <c r="H52" i="50"/>
  <c r="H51" i="50" s="1"/>
  <c r="H50" i="50" s="1"/>
  <c r="I52" i="50"/>
  <c r="I51" i="50" s="1"/>
  <c r="I50" i="50" s="1"/>
  <c r="J52" i="50"/>
  <c r="J51" i="50" s="1"/>
  <c r="J50" i="50" s="1"/>
  <c r="D52" i="50"/>
  <c r="D51" i="50" s="1"/>
  <c r="D50" i="50" s="1"/>
  <c r="E48" i="50"/>
  <c r="E47" i="50" s="1"/>
  <c r="E46" i="50" s="1"/>
  <c r="F48" i="50"/>
  <c r="F47" i="50" s="1"/>
  <c r="F46" i="50" s="1"/>
  <c r="G48" i="50"/>
  <c r="G47" i="50" s="1"/>
  <c r="G46" i="50" s="1"/>
  <c r="H48" i="50"/>
  <c r="H47" i="50" s="1"/>
  <c r="H46" i="50" s="1"/>
  <c r="I48" i="50"/>
  <c r="I47" i="50" s="1"/>
  <c r="I46" i="50" s="1"/>
  <c r="J48" i="50"/>
  <c r="J47" i="50" s="1"/>
  <c r="J46" i="50" s="1"/>
  <c r="D48" i="50"/>
  <c r="D47" i="50" s="1"/>
  <c r="D46" i="50" s="1"/>
  <c r="E45" i="50"/>
  <c r="E43" i="50" s="1"/>
  <c r="E42" i="50" s="1"/>
  <c r="F45" i="50"/>
  <c r="F43" i="50" s="1"/>
  <c r="F42" i="50" s="1"/>
  <c r="G45" i="50"/>
  <c r="G43" i="50" s="1"/>
  <c r="G42" i="50" s="1"/>
  <c r="H45" i="50"/>
  <c r="H43" i="50" s="1"/>
  <c r="H42" i="50" s="1"/>
  <c r="I45" i="50"/>
  <c r="I43" i="50" s="1"/>
  <c r="I42" i="50" s="1"/>
  <c r="J45" i="50"/>
  <c r="J43" i="50" s="1"/>
  <c r="J42" i="50" s="1"/>
  <c r="D45" i="50"/>
  <c r="D43" i="50" s="1"/>
  <c r="D42" i="50" s="1"/>
  <c r="E41" i="50"/>
  <c r="E39" i="50" s="1"/>
  <c r="E38" i="50" s="1"/>
  <c r="F41" i="50"/>
  <c r="G41" i="50"/>
  <c r="G39" i="50" s="1"/>
  <c r="G38" i="50" s="1"/>
  <c r="H41" i="50"/>
  <c r="I41" i="50"/>
  <c r="I39" i="50" s="1"/>
  <c r="I38" i="50" s="1"/>
  <c r="J41" i="50"/>
  <c r="D41" i="50"/>
  <c r="E36" i="50"/>
  <c r="E35" i="50" s="1"/>
  <c r="E34" i="50" s="1"/>
  <c r="F36" i="50"/>
  <c r="F35" i="50" s="1"/>
  <c r="F34" i="50" s="1"/>
  <c r="G36" i="50"/>
  <c r="G35" i="50" s="1"/>
  <c r="G34" i="50" s="1"/>
  <c r="H36" i="50"/>
  <c r="H35" i="50" s="1"/>
  <c r="H34" i="50" s="1"/>
  <c r="I36" i="50"/>
  <c r="I35" i="50" s="1"/>
  <c r="I34" i="50" s="1"/>
  <c r="J36" i="50"/>
  <c r="J35" i="50" s="1"/>
  <c r="J34" i="50" s="1"/>
  <c r="D36" i="50"/>
  <c r="D35" i="50" s="1"/>
  <c r="D34" i="50" s="1"/>
  <c r="E32" i="50"/>
  <c r="E31" i="50" s="1"/>
  <c r="E30" i="50" s="1"/>
  <c r="F32" i="50"/>
  <c r="F31" i="50" s="1"/>
  <c r="F30" i="50" s="1"/>
  <c r="G32" i="50"/>
  <c r="G31" i="50" s="1"/>
  <c r="G30" i="50" s="1"/>
  <c r="H32" i="50"/>
  <c r="H31" i="50" s="1"/>
  <c r="H30" i="50" s="1"/>
  <c r="I32" i="50"/>
  <c r="I31" i="50" s="1"/>
  <c r="I30" i="50" s="1"/>
  <c r="J32" i="50"/>
  <c r="J31" i="50" s="1"/>
  <c r="J30" i="50" s="1"/>
  <c r="D32" i="50"/>
  <c r="D31" i="50" s="1"/>
  <c r="D30" i="50" s="1"/>
  <c r="E28" i="50"/>
  <c r="E27" i="50" s="1"/>
  <c r="E26" i="50" s="1"/>
  <c r="F28" i="50"/>
  <c r="F27" i="50" s="1"/>
  <c r="F26" i="50" s="1"/>
  <c r="G28" i="50"/>
  <c r="G27" i="50" s="1"/>
  <c r="G26" i="50" s="1"/>
  <c r="H28" i="50"/>
  <c r="H27" i="50" s="1"/>
  <c r="H26" i="50" s="1"/>
  <c r="I28" i="50"/>
  <c r="I27" i="50" s="1"/>
  <c r="I26" i="50" s="1"/>
  <c r="J28" i="50"/>
  <c r="J27" i="50" s="1"/>
  <c r="J26" i="50" s="1"/>
  <c r="D28" i="50"/>
  <c r="D27" i="50" s="1"/>
  <c r="D26" i="50" s="1"/>
  <c r="E24" i="50"/>
  <c r="E23" i="50" s="1"/>
  <c r="E22" i="50" s="1"/>
  <c r="F24" i="50"/>
  <c r="G24" i="50"/>
  <c r="G23" i="50" s="1"/>
  <c r="G22" i="50" s="1"/>
  <c r="H24" i="50"/>
  <c r="H23" i="50" s="1"/>
  <c r="H22" i="50" s="1"/>
  <c r="I24" i="50"/>
  <c r="I23" i="50" s="1"/>
  <c r="I22" i="50" s="1"/>
  <c r="J24" i="50"/>
  <c r="D24" i="50"/>
  <c r="D23" i="50" s="1"/>
  <c r="D22" i="50" s="1"/>
  <c r="E20" i="50"/>
  <c r="E19" i="50" s="1"/>
  <c r="E18" i="50" s="1"/>
  <c r="G20" i="50"/>
  <c r="H20" i="50"/>
  <c r="H19" i="50" s="1"/>
  <c r="H18" i="50" s="1"/>
  <c r="I20" i="50"/>
  <c r="I19" i="50" s="1"/>
  <c r="I18" i="50" s="1"/>
  <c r="J20" i="50"/>
  <c r="J19" i="50" s="1"/>
  <c r="J18" i="50" s="1"/>
  <c r="D20" i="50"/>
  <c r="D19" i="50" s="1"/>
  <c r="D18" i="50" s="1"/>
  <c r="B54" i="50"/>
  <c r="B50" i="50"/>
  <c r="B46" i="50"/>
  <c r="B42" i="50"/>
  <c r="B38" i="50"/>
  <c r="B34" i="50"/>
  <c r="B30" i="50"/>
  <c r="B26" i="50"/>
  <c r="B22" i="50"/>
  <c r="B18" i="50"/>
  <c r="B14" i="50"/>
  <c r="B10" i="50"/>
  <c r="E72" i="51"/>
  <c r="E71" i="51" s="1"/>
  <c r="E70" i="51" s="1"/>
  <c r="F72" i="51"/>
  <c r="F71" i="51" s="1"/>
  <c r="F70" i="51" s="1"/>
  <c r="G72" i="51"/>
  <c r="G68" i="51" s="1"/>
  <c r="G67" i="51" s="1"/>
  <c r="G66" i="51" s="1"/>
  <c r="H72" i="51"/>
  <c r="H71" i="51" s="1"/>
  <c r="H70" i="51" s="1"/>
  <c r="I72" i="51"/>
  <c r="J72" i="51"/>
  <c r="D72" i="51"/>
  <c r="D68" i="51" s="1"/>
  <c r="E64" i="51"/>
  <c r="E63" i="51" s="1"/>
  <c r="E62" i="51" s="1"/>
  <c r="F64" i="51"/>
  <c r="F63" i="51" s="1"/>
  <c r="F62" i="51" s="1"/>
  <c r="G64" i="51"/>
  <c r="G63" i="51" s="1"/>
  <c r="G62" i="51" s="1"/>
  <c r="H64" i="51"/>
  <c r="H63" i="51" s="1"/>
  <c r="H62" i="51" s="1"/>
  <c r="I64" i="51"/>
  <c r="I63" i="51" s="1"/>
  <c r="I62" i="51" s="1"/>
  <c r="J64" i="51"/>
  <c r="J63" i="51" s="1"/>
  <c r="J62" i="51" s="1"/>
  <c r="D64" i="51"/>
  <c r="D63" i="51" s="1"/>
  <c r="D62" i="51" s="1"/>
  <c r="E60" i="51"/>
  <c r="E59" i="51" s="1"/>
  <c r="E58" i="51" s="1"/>
  <c r="F60" i="51"/>
  <c r="F59" i="51" s="1"/>
  <c r="F58" i="51" s="1"/>
  <c r="G60" i="51"/>
  <c r="G59" i="51" s="1"/>
  <c r="G58" i="51" s="1"/>
  <c r="H60" i="51"/>
  <c r="H59" i="51" s="1"/>
  <c r="H58" i="51" s="1"/>
  <c r="I60" i="51"/>
  <c r="I59" i="51" s="1"/>
  <c r="I58" i="51" s="1"/>
  <c r="J60" i="51"/>
  <c r="J59" i="51" s="1"/>
  <c r="J58" i="51" s="1"/>
  <c r="D60" i="51"/>
  <c r="D59" i="51" s="1"/>
  <c r="D58" i="51" s="1"/>
  <c r="E53" i="51"/>
  <c r="E51" i="51" s="1"/>
  <c r="E50" i="51" s="1"/>
  <c r="F53" i="51"/>
  <c r="F51" i="51" s="1"/>
  <c r="F50" i="51" s="1"/>
  <c r="G53" i="51"/>
  <c r="G51" i="51" s="1"/>
  <c r="G50" i="51" s="1"/>
  <c r="H53" i="51"/>
  <c r="H51" i="51" s="1"/>
  <c r="H50" i="51" s="1"/>
  <c r="I53" i="51"/>
  <c r="I51" i="51" s="1"/>
  <c r="I50" i="51" s="1"/>
  <c r="J53" i="51"/>
  <c r="J51" i="51" s="1"/>
  <c r="J50" i="51" s="1"/>
  <c r="D53" i="51"/>
  <c r="D51" i="51" s="1"/>
  <c r="D50" i="51" s="1"/>
  <c r="F49" i="51"/>
  <c r="F47" i="51" s="1"/>
  <c r="F46" i="51" s="1"/>
  <c r="G49" i="51"/>
  <c r="G47" i="51" s="1"/>
  <c r="G46" i="51" s="1"/>
  <c r="H49" i="51"/>
  <c r="H47" i="51" s="1"/>
  <c r="H46" i="51" s="1"/>
  <c r="I49" i="51"/>
  <c r="I47" i="51" s="1"/>
  <c r="I46" i="51" s="1"/>
  <c r="J49" i="51"/>
  <c r="J47" i="51" s="1"/>
  <c r="J46" i="51" s="1"/>
  <c r="D49" i="51"/>
  <c r="D47" i="51" s="1"/>
  <c r="D46" i="51" s="1"/>
  <c r="E45" i="51"/>
  <c r="E43" i="51" s="1"/>
  <c r="E42" i="51" s="1"/>
  <c r="F45" i="51"/>
  <c r="F43" i="51" s="1"/>
  <c r="F42" i="51" s="1"/>
  <c r="G45" i="51"/>
  <c r="G43" i="51" s="1"/>
  <c r="G42" i="51" s="1"/>
  <c r="H45" i="51"/>
  <c r="H43" i="51" s="1"/>
  <c r="H42" i="51" s="1"/>
  <c r="I45" i="51"/>
  <c r="I43" i="51" s="1"/>
  <c r="I42" i="51" s="1"/>
  <c r="J45" i="51"/>
  <c r="J43" i="51" s="1"/>
  <c r="J42" i="51" s="1"/>
  <c r="D45" i="51"/>
  <c r="D43" i="51" s="1"/>
  <c r="D42" i="51" s="1"/>
  <c r="E41" i="51"/>
  <c r="E39" i="51" s="1"/>
  <c r="E38" i="51" s="1"/>
  <c r="G41" i="51"/>
  <c r="G39" i="51" s="1"/>
  <c r="G38" i="51" s="1"/>
  <c r="H41" i="51"/>
  <c r="H39" i="51" s="1"/>
  <c r="H38" i="51" s="1"/>
  <c r="I41" i="51"/>
  <c r="I39" i="51" s="1"/>
  <c r="I38" i="51" s="1"/>
  <c r="J41" i="51"/>
  <c r="J39" i="51" s="1"/>
  <c r="J38" i="51" s="1"/>
  <c r="D41" i="51"/>
  <c r="D39" i="51" s="1"/>
  <c r="D38" i="51" s="1"/>
  <c r="E24" i="51"/>
  <c r="E23" i="51" s="1"/>
  <c r="E22" i="51" s="1"/>
  <c r="F24" i="51"/>
  <c r="F23" i="51" s="1"/>
  <c r="F22" i="51" s="1"/>
  <c r="G24" i="51"/>
  <c r="G23" i="51" s="1"/>
  <c r="G22" i="51" s="1"/>
  <c r="H24" i="51"/>
  <c r="H23" i="51" s="1"/>
  <c r="H22" i="51" s="1"/>
  <c r="I24" i="51"/>
  <c r="I23" i="51" s="1"/>
  <c r="I22" i="51" s="1"/>
  <c r="J24" i="51"/>
  <c r="D24" i="51"/>
  <c r="D23" i="51" s="1"/>
  <c r="D22" i="51" s="1"/>
  <c r="E32" i="51"/>
  <c r="F32" i="51"/>
  <c r="G32" i="51"/>
  <c r="G31" i="51" s="1"/>
  <c r="G30" i="51" s="1"/>
  <c r="H32" i="51"/>
  <c r="H28" i="51" s="1"/>
  <c r="H27" i="51" s="1"/>
  <c r="H26" i="51" s="1"/>
  <c r="I32" i="51"/>
  <c r="J32" i="51"/>
  <c r="J28" i="51" s="1"/>
  <c r="J27" i="51" s="1"/>
  <c r="J26" i="51" s="1"/>
  <c r="D32" i="51"/>
  <c r="D31" i="51" s="1"/>
  <c r="D30" i="51" s="1"/>
  <c r="E20" i="51"/>
  <c r="E19" i="51" s="1"/>
  <c r="E18" i="51" s="1"/>
  <c r="F20" i="51"/>
  <c r="F19" i="51" s="1"/>
  <c r="F18" i="51" s="1"/>
  <c r="G20" i="51"/>
  <c r="G19" i="51" s="1"/>
  <c r="G18" i="51" s="1"/>
  <c r="H20" i="51"/>
  <c r="I20" i="51"/>
  <c r="I19" i="51" s="1"/>
  <c r="I18" i="51" s="1"/>
  <c r="J20" i="51"/>
  <c r="J19" i="51" s="1"/>
  <c r="J18" i="51" s="1"/>
  <c r="D20" i="51"/>
  <c r="D19" i="51" s="1"/>
  <c r="D18" i="51" s="1"/>
  <c r="G16" i="51"/>
  <c r="H16" i="51"/>
  <c r="H15" i="51" s="1"/>
  <c r="H14" i="51" s="1"/>
  <c r="I16" i="51"/>
  <c r="I15" i="51" s="1"/>
  <c r="I14" i="51" s="1"/>
  <c r="J16" i="51"/>
  <c r="J15" i="51" s="1"/>
  <c r="J14" i="51" s="1"/>
  <c r="E16" i="51"/>
  <c r="E15" i="51" s="1"/>
  <c r="E14" i="51" s="1"/>
  <c r="D14" i="51"/>
  <c r="D16" i="51"/>
  <c r="B70" i="51"/>
  <c r="B66" i="51"/>
  <c r="B62" i="51"/>
  <c r="B58" i="51"/>
  <c r="B54" i="51"/>
  <c r="B50" i="51"/>
  <c r="B46" i="51"/>
  <c r="B42" i="51"/>
  <c r="B38" i="51"/>
  <c r="B34" i="51"/>
  <c r="B22" i="51"/>
  <c r="B30" i="51"/>
  <c r="B26" i="51"/>
  <c r="B18" i="51"/>
  <c r="B14" i="51"/>
  <c r="B10" i="51"/>
  <c r="G12" i="53"/>
  <c r="G11" i="53" s="1"/>
  <c r="G10" i="53" s="1"/>
  <c r="G47" i="44"/>
  <c r="H47" i="44"/>
  <c r="I47" i="44"/>
  <c r="I68" i="52"/>
  <c r="I67" i="52" s="1"/>
  <c r="I66" i="52" s="1"/>
  <c r="G68" i="52"/>
  <c r="E6" i="70"/>
  <c r="J68" i="52"/>
  <c r="H68" i="52"/>
  <c r="K152" i="44"/>
  <c r="K153" i="44"/>
  <c r="K154" i="44"/>
  <c r="K156" i="44"/>
  <c r="I12" i="70" s="1"/>
  <c r="K159" i="44"/>
  <c r="K162" i="44"/>
  <c r="K163" i="44"/>
  <c r="K164" i="44"/>
  <c r="K168" i="44"/>
  <c r="K171" i="44"/>
  <c r="K172" i="44"/>
  <c r="K176" i="44"/>
  <c r="K185" i="44"/>
  <c r="E155" i="44"/>
  <c r="F155" i="44"/>
  <c r="G155" i="44"/>
  <c r="H155" i="44"/>
  <c r="I155" i="44"/>
  <c r="D155" i="44"/>
  <c r="K31" i="44"/>
  <c r="F151" i="44"/>
  <c r="C83" i="72" s="1"/>
  <c r="F64" i="52"/>
  <c r="F63" i="52" s="1"/>
  <c r="F62" i="52" s="1"/>
  <c r="F16" i="51"/>
  <c r="F16" i="52"/>
  <c r="F15" i="52" s="1"/>
  <c r="F14" i="52" s="1"/>
  <c r="K126" i="44"/>
  <c r="K43" i="44"/>
  <c r="I42" i="44"/>
  <c r="H42" i="44"/>
  <c r="G42" i="44"/>
  <c r="F42" i="44"/>
  <c r="E42" i="44"/>
  <c r="D42" i="44"/>
  <c r="K41" i="44"/>
  <c r="K40" i="44"/>
  <c r="I39" i="44"/>
  <c r="H39" i="44"/>
  <c r="G39" i="44"/>
  <c r="F39" i="44"/>
  <c r="E39" i="44"/>
  <c r="D39" i="44"/>
  <c r="E138" i="44"/>
  <c r="G138" i="44"/>
  <c r="H138" i="44"/>
  <c r="I138" i="44"/>
  <c r="D138" i="44"/>
  <c r="E128" i="44"/>
  <c r="F128" i="44"/>
  <c r="E123" i="44"/>
  <c r="F123" i="44"/>
  <c r="G123" i="44"/>
  <c r="H123" i="44"/>
  <c r="I123" i="44"/>
  <c r="D123" i="44"/>
  <c r="E117" i="44"/>
  <c r="F117" i="44"/>
  <c r="G117" i="44"/>
  <c r="H117" i="44"/>
  <c r="I117" i="44"/>
  <c r="D117" i="44"/>
  <c r="E100" i="44"/>
  <c r="F100" i="44"/>
  <c r="G100" i="44"/>
  <c r="H100" i="44"/>
  <c r="I100" i="44"/>
  <c r="D100" i="44"/>
  <c r="E82" i="44"/>
  <c r="F82" i="44"/>
  <c r="G82" i="44"/>
  <c r="H82" i="44"/>
  <c r="I82" i="44"/>
  <c r="D82" i="44"/>
  <c r="E75" i="44"/>
  <c r="F75" i="44"/>
  <c r="G75" i="44"/>
  <c r="H75" i="44"/>
  <c r="I75" i="44"/>
  <c r="D75" i="44"/>
  <c r="K69" i="44"/>
  <c r="E45" i="44"/>
  <c r="D45" i="44"/>
  <c r="G26" i="44"/>
  <c r="H26" i="44"/>
  <c r="I26" i="44"/>
  <c r="D26" i="44"/>
  <c r="E11" i="44"/>
  <c r="F11" i="44"/>
  <c r="G11" i="44"/>
  <c r="H11" i="44"/>
  <c r="I11" i="44"/>
  <c r="D11" i="44"/>
  <c r="D13" i="44"/>
  <c r="D10" i="44" s="1"/>
  <c r="K143" i="44"/>
  <c r="K142" i="44"/>
  <c r="K141" i="44"/>
  <c r="E140" i="44"/>
  <c r="E137" i="44" s="1"/>
  <c r="F140" i="44"/>
  <c r="G140" i="44"/>
  <c r="G137" i="44" s="1"/>
  <c r="H140" i="44"/>
  <c r="H137" i="44" s="1"/>
  <c r="I140" i="44"/>
  <c r="I137" i="44" s="1"/>
  <c r="D140" i="44"/>
  <c r="D137" i="44" s="1"/>
  <c r="K135" i="44"/>
  <c r="K136" i="44"/>
  <c r="E130" i="44"/>
  <c r="E127" i="44" s="1"/>
  <c r="F130" i="44"/>
  <c r="F127" i="44" s="1"/>
  <c r="E125" i="44"/>
  <c r="E122" i="44" s="1"/>
  <c r="F125" i="44"/>
  <c r="F122" i="44" s="1"/>
  <c r="G125" i="44"/>
  <c r="G122" i="44" s="1"/>
  <c r="H125" i="44"/>
  <c r="H122" i="44" s="1"/>
  <c r="I125" i="44"/>
  <c r="I122" i="44" s="1"/>
  <c r="D125" i="44"/>
  <c r="D122" i="44" s="1"/>
  <c r="K120" i="44"/>
  <c r="K110" i="44"/>
  <c r="K111" i="44"/>
  <c r="K112" i="44"/>
  <c r="K113" i="44"/>
  <c r="K115" i="44"/>
  <c r="K106" i="44"/>
  <c r="K107" i="44"/>
  <c r="K108" i="44"/>
  <c r="K103" i="44"/>
  <c r="E109" i="44"/>
  <c r="F109" i="44"/>
  <c r="G109" i="44"/>
  <c r="H109" i="44"/>
  <c r="I109" i="44"/>
  <c r="E114" i="44"/>
  <c r="F114" i="44"/>
  <c r="G114" i="44"/>
  <c r="H114" i="44"/>
  <c r="I114" i="44"/>
  <c r="D114" i="44"/>
  <c r="D109" i="44"/>
  <c r="E96" i="44"/>
  <c r="F96" i="44"/>
  <c r="C32" i="72" s="1"/>
  <c r="G96" i="44"/>
  <c r="D32" i="72" s="1"/>
  <c r="D15" i="72" s="1"/>
  <c r="H96" i="44"/>
  <c r="E32" i="72" s="1"/>
  <c r="E15" i="72" s="1"/>
  <c r="I96" i="44"/>
  <c r="F32" i="72" s="1"/>
  <c r="F15" i="72" s="1"/>
  <c r="D96" i="44"/>
  <c r="E94" i="44"/>
  <c r="F94" i="44"/>
  <c r="G94" i="44"/>
  <c r="H94" i="44"/>
  <c r="I94" i="44"/>
  <c r="D94" i="44"/>
  <c r="E92" i="44"/>
  <c r="F92" i="44"/>
  <c r="G92" i="44"/>
  <c r="H92" i="44"/>
  <c r="I92" i="44"/>
  <c r="D92" i="44"/>
  <c r="E90" i="44"/>
  <c r="F90" i="44"/>
  <c r="G90" i="44"/>
  <c r="H90" i="44"/>
  <c r="I90" i="44"/>
  <c r="D90" i="44"/>
  <c r="E87" i="44"/>
  <c r="F87" i="44"/>
  <c r="G87" i="44"/>
  <c r="H87" i="44"/>
  <c r="I87" i="44"/>
  <c r="D87" i="44"/>
  <c r="E84" i="44"/>
  <c r="G84" i="44"/>
  <c r="H84" i="44"/>
  <c r="I84" i="44"/>
  <c r="D84" i="44"/>
  <c r="K80" i="44"/>
  <c r="K78" i="44"/>
  <c r="E77" i="44"/>
  <c r="E74" i="44" s="1"/>
  <c r="G77" i="44"/>
  <c r="G74" i="44" s="1"/>
  <c r="H77" i="44"/>
  <c r="H74" i="44" s="1"/>
  <c r="I77" i="44"/>
  <c r="I74" i="44" s="1"/>
  <c r="D77" i="44"/>
  <c r="D74" i="44" s="1"/>
  <c r="E71" i="44"/>
  <c r="E68" i="44" s="1"/>
  <c r="E70" i="44" s="1"/>
  <c r="G68" i="44"/>
  <c r="G70" i="44" s="1"/>
  <c r="H68" i="44"/>
  <c r="H70" i="44" s="1"/>
  <c r="I68" i="44"/>
  <c r="I70" i="44" s="1"/>
  <c r="D71" i="44"/>
  <c r="D68" i="44" s="1"/>
  <c r="E60" i="44"/>
  <c r="G60" i="44"/>
  <c r="H60" i="44"/>
  <c r="I60" i="44"/>
  <c r="D60" i="44"/>
  <c r="D57" i="44"/>
  <c r="D34" i="44"/>
  <c r="E150" i="44"/>
  <c r="F184" i="44"/>
  <c r="F183" i="44" s="1"/>
  <c r="F182" i="44" s="1"/>
  <c r="D26" i="70" s="1"/>
  <c r="G184" i="44"/>
  <c r="G183" i="44" s="1"/>
  <c r="G182" i="44" s="1"/>
  <c r="E26" i="70" s="1"/>
  <c r="H184" i="44"/>
  <c r="H183" i="44" s="1"/>
  <c r="H182" i="44" s="1"/>
  <c r="F26" i="70" s="1"/>
  <c r="I184" i="44"/>
  <c r="I183" i="44" s="1"/>
  <c r="I182" i="44" s="1"/>
  <c r="G26" i="70" s="1"/>
  <c r="H26" i="70"/>
  <c r="H48" i="70" s="1"/>
  <c r="E184" i="44"/>
  <c r="E183" i="44" s="1"/>
  <c r="E182" i="44" s="1"/>
  <c r="C26" i="70" s="1"/>
  <c r="C27" i="70" s="1"/>
  <c r="D184" i="44"/>
  <c r="D183" i="44" s="1"/>
  <c r="E179" i="44"/>
  <c r="E178" i="44" s="1"/>
  <c r="E177" i="44" s="1"/>
  <c r="G179" i="44"/>
  <c r="G178" i="44" s="1"/>
  <c r="G177" i="44" s="1"/>
  <c r="E22" i="70" s="1"/>
  <c r="H179" i="44"/>
  <c r="H178" i="44" s="1"/>
  <c r="H177" i="44" s="1"/>
  <c r="F22" i="70" s="1"/>
  <c r="I179" i="44"/>
  <c r="I178" i="44" s="1"/>
  <c r="I177" i="44" s="1"/>
  <c r="G22" i="70" s="1"/>
  <c r="G23" i="70" s="1"/>
  <c r="H22" i="70"/>
  <c r="D179" i="44"/>
  <c r="D178" i="44" s="1"/>
  <c r="D177" i="44" s="1"/>
  <c r="B22" i="70" s="1"/>
  <c r="B23" i="70" s="1"/>
  <c r="H134" i="44"/>
  <c r="D134" i="44"/>
  <c r="D28" i="62" s="1"/>
  <c r="D27" i="62" s="1"/>
  <c r="D26" i="62" s="1"/>
  <c r="G133" i="44"/>
  <c r="G25" i="62" s="1"/>
  <c r="G23" i="62" s="1"/>
  <c r="G22" i="62" s="1"/>
  <c r="D133" i="44"/>
  <c r="D25" i="62" s="1"/>
  <c r="D23" i="62" s="1"/>
  <c r="D22" i="62" s="1"/>
  <c r="H132" i="44"/>
  <c r="H6" i="44" s="1"/>
  <c r="D132" i="44"/>
  <c r="D20" i="62" s="1"/>
  <c r="G131" i="44"/>
  <c r="D131" i="44"/>
  <c r="E119" i="44"/>
  <c r="E116" i="44" s="1"/>
  <c r="G116" i="44"/>
  <c r="H116" i="44"/>
  <c r="I116" i="44"/>
  <c r="D119" i="44"/>
  <c r="D116" i="44" s="1"/>
  <c r="K29" i="44"/>
  <c r="K30" i="44"/>
  <c r="K33" i="44"/>
  <c r="K36" i="44"/>
  <c r="K38" i="44"/>
  <c r="G34" i="44"/>
  <c r="H34" i="44"/>
  <c r="I34" i="44"/>
  <c r="E57" i="44"/>
  <c r="K61" i="44"/>
  <c r="K63" i="44"/>
  <c r="K64" i="44"/>
  <c r="K51" i="44"/>
  <c r="D48" i="44"/>
  <c r="D206" i="44" s="1"/>
  <c r="E48" i="44"/>
  <c r="E206" i="44" s="1"/>
  <c r="K89" i="44"/>
  <c r="K88" i="44"/>
  <c r="K91" i="44"/>
  <c r="K93" i="44"/>
  <c r="K95" i="44"/>
  <c r="K97" i="44"/>
  <c r="K98" i="44"/>
  <c r="K86" i="44"/>
  <c r="D104" i="44"/>
  <c r="D20" i="59" s="1"/>
  <c r="D19" i="59" s="1"/>
  <c r="D18" i="59" s="1"/>
  <c r="E104" i="44"/>
  <c r="E20" i="59" s="1"/>
  <c r="E19" i="59" s="1"/>
  <c r="E18" i="59" s="1"/>
  <c r="F116" i="44"/>
  <c r="F158" i="44"/>
  <c r="F157" i="44" s="1"/>
  <c r="F161" i="44"/>
  <c r="F160" i="44" s="1"/>
  <c r="G150" i="44"/>
  <c r="G158" i="44"/>
  <c r="G161" i="44"/>
  <c r="G160" i="44" s="1"/>
  <c r="H150" i="44"/>
  <c r="H158" i="44"/>
  <c r="H157" i="44" s="1"/>
  <c r="H161" i="44"/>
  <c r="H160" i="44" s="1"/>
  <c r="I150" i="44"/>
  <c r="I158" i="44"/>
  <c r="I157" i="44" s="1"/>
  <c r="I161" i="44"/>
  <c r="I160" i="44" s="1"/>
  <c r="F167" i="44"/>
  <c r="F166" i="44" s="1"/>
  <c r="F170" i="44"/>
  <c r="F169" i="44" s="1"/>
  <c r="C100" i="72" s="1"/>
  <c r="G167" i="44"/>
  <c r="G166" i="44" s="1"/>
  <c r="G170" i="44"/>
  <c r="G169" i="44" s="1"/>
  <c r="D100" i="72" s="1"/>
  <c r="D114" i="72" s="1"/>
  <c r="H167" i="44"/>
  <c r="H170" i="44"/>
  <c r="H169" i="44" s="1"/>
  <c r="E100" i="72" s="1"/>
  <c r="E114" i="72" s="1"/>
  <c r="I167" i="44"/>
  <c r="I166" i="44" s="1"/>
  <c r="I170" i="44"/>
  <c r="I169" i="44" s="1"/>
  <c r="F100" i="72" s="1"/>
  <c r="F114" i="72" s="1"/>
  <c r="F175" i="44"/>
  <c r="F174" i="44" s="1"/>
  <c r="F173" i="44" s="1"/>
  <c r="D18" i="70" s="1"/>
  <c r="D46" i="70" s="1"/>
  <c r="G175" i="44"/>
  <c r="G174" i="44" s="1"/>
  <c r="G173" i="44" s="1"/>
  <c r="E18" i="70" s="1"/>
  <c r="H175" i="44"/>
  <c r="H174" i="44" s="1"/>
  <c r="H173" i="44" s="1"/>
  <c r="F18" i="70" s="1"/>
  <c r="I175" i="44"/>
  <c r="I174" i="44" s="1"/>
  <c r="I173" i="44" s="1"/>
  <c r="G18" i="70" s="1"/>
  <c r="H18" i="70"/>
  <c r="K16" i="44"/>
  <c r="K17" i="44"/>
  <c r="K18" i="44"/>
  <c r="K19" i="44"/>
  <c r="K20" i="44"/>
  <c r="K21" i="44"/>
  <c r="K22" i="44"/>
  <c r="K23" i="44"/>
  <c r="K24" i="44"/>
  <c r="K14" i="44"/>
  <c r="E13" i="44"/>
  <c r="E10" i="44" s="1"/>
  <c r="G13" i="44"/>
  <c r="G10" i="44" s="1"/>
  <c r="H13" i="44"/>
  <c r="H10" i="44" s="1"/>
  <c r="I13" i="44"/>
  <c r="I10" i="44" s="1"/>
  <c r="D192" i="44"/>
  <c r="E190" i="44"/>
  <c r="E189" i="44"/>
  <c r="F188" i="44"/>
  <c r="G188" i="44"/>
  <c r="E36" i="70" s="1"/>
  <c r="H188" i="44"/>
  <c r="H187" i="44" s="1"/>
  <c r="I188" i="44"/>
  <c r="G36" i="70" s="1"/>
  <c r="J188" i="44"/>
  <c r="J187" i="44" s="1"/>
  <c r="D188" i="44"/>
  <c r="B36" i="70" s="1"/>
  <c r="D150" i="44"/>
  <c r="D158" i="44"/>
  <c r="D157" i="44" s="1"/>
  <c r="D161" i="44"/>
  <c r="D160" i="44" s="1"/>
  <c r="D167" i="44"/>
  <c r="D166" i="44" s="1"/>
  <c r="D170" i="44"/>
  <c r="D175" i="44"/>
  <c r="D174" i="44" s="1"/>
  <c r="E158" i="44"/>
  <c r="E157" i="44" s="1"/>
  <c r="E161" i="44"/>
  <c r="E160" i="44" s="1"/>
  <c r="E167" i="44"/>
  <c r="E166" i="44" s="1"/>
  <c r="E170" i="44"/>
  <c r="E169" i="44" s="1"/>
  <c r="E175" i="44"/>
  <c r="E174" i="44" s="1"/>
  <c r="E173" i="44" s="1"/>
  <c r="C18" i="70" s="1"/>
  <c r="D207" i="44"/>
  <c r="D208" i="44"/>
  <c r="E207" i="44"/>
  <c r="E208" i="44"/>
  <c r="G207" i="44"/>
  <c r="G208" i="44"/>
  <c r="H207" i="44"/>
  <c r="H208" i="44"/>
  <c r="I207" i="44"/>
  <c r="I208" i="44"/>
  <c r="J207" i="44"/>
  <c r="J208" i="44"/>
  <c r="F68" i="52"/>
  <c r="F67" i="52" s="1"/>
  <c r="F66" i="52" s="1"/>
  <c r="F60" i="44"/>
  <c r="K49" i="44"/>
  <c r="K62" i="44"/>
  <c r="L14" i="71" l="1"/>
  <c r="L412" i="71"/>
  <c r="L390" i="71"/>
  <c r="L156" i="71"/>
  <c r="L528" i="71"/>
  <c r="L498" i="71"/>
  <c r="D5" i="44"/>
  <c r="B5" i="70" s="1"/>
  <c r="B32" i="70" s="1"/>
  <c r="B34" i="70" s="1"/>
  <c r="D16" i="52"/>
  <c r="D12" i="52" s="1"/>
  <c r="F13" i="44"/>
  <c r="F10" i="44" s="1"/>
  <c r="K10" i="44" s="1"/>
  <c r="F20" i="50"/>
  <c r="F19" i="50" s="1"/>
  <c r="F18" i="50" s="1"/>
  <c r="B25" i="70"/>
  <c r="F24" i="52"/>
  <c r="F12" i="52" s="1"/>
  <c r="H36" i="70"/>
  <c r="F207" i="44"/>
  <c r="K82" i="44"/>
  <c r="I118" i="44"/>
  <c r="G118" i="44"/>
  <c r="K79" i="44"/>
  <c r="F84" i="44"/>
  <c r="K84" i="44" s="1"/>
  <c r="K151" i="44"/>
  <c r="F41" i="58"/>
  <c r="F40" i="58" s="1"/>
  <c r="F39" i="58" s="1"/>
  <c r="G5" i="44"/>
  <c r="G201" i="44" s="1"/>
  <c r="G6" i="65"/>
  <c r="N6" i="65" s="1"/>
  <c r="D17" i="62"/>
  <c r="D15" i="62" s="1"/>
  <c r="D14" i="62" s="1"/>
  <c r="F118" i="44"/>
  <c r="K85" i="44"/>
  <c r="F179" i="44"/>
  <c r="F178" i="44" s="1"/>
  <c r="F177" i="44" s="1"/>
  <c r="D22" i="70" s="1"/>
  <c r="D23" i="70" s="1"/>
  <c r="D25" i="70" s="1"/>
  <c r="F77" i="44"/>
  <c r="F74" i="44" s="1"/>
  <c r="K74" i="44" s="1"/>
  <c r="F20" i="58"/>
  <c r="F19" i="58" s="1"/>
  <c r="F18" i="58" s="1"/>
  <c r="K180" i="44"/>
  <c r="G60" i="52"/>
  <c r="F20" i="54"/>
  <c r="F19" i="54" s="1"/>
  <c r="F18" i="54" s="1"/>
  <c r="E201" i="44"/>
  <c r="E16" i="52"/>
  <c r="E15" i="52" s="1"/>
  <c r="E14" i="52" s="1"/>
  <c r="G25" i="70"/>
  <c r="C29" i="70"/>
  <c r="E34" i="44"/>
  <c r="E25" i="44" s="1"/>
  <c r="H44" i="44"/>
  <c r="H46" i="44" s="1"/>
  <c r="H76" i="44"/>
  <c r="F76" i="44"/>
  <c r="D56" i="59"/>
  <c r="D55" i="59" s="1"/>
  <c r="D54" i="59" s="1"/>
  <c r="D102" i="44"/>
  <c r="D99" i="44" s="1"/>
  <c r="D101" i="44" s="1"/>
  <c r="F36" i="70"/>
  <c r="E188" i="44"/>
  <c r="C36" i="70" s="1"/>
  <c r="I139" i="44"/>
  <c r="G139" i="44"/>
  <c r="E26" i="44"/>
  <c r="C8" i="70"/>
  <c r="F41" i="51"/>
  <c r="F39" i="51" s="1"/>
  <c r="F38" i="51" s="1"/>
  <c r="K75" i="44"/>
  <c r="D130" i="44"/>
  <c r="D127" i="44" s="1"/>
  <c r="D128" i="44"/>
  <c r="E47" i="44"/>
  <c r="E44" i="44" s="1"/>
  <c r="E46" i="44" s="1"/>
  <c r="D187" i="44"/>
  <c r="D6" i="44"/>
  <c r="B6" i="70" s="1"/>
  <c r="E118" i="44"/>
  <c r="I76" i="44"/>
  <c r="G76" i="44"/>
  <c r="E76" i="44"/>
  <c r="K100" i="44"/>
  <c r="K117" i="44"/>
  <c r="F71" i="44"/>
  <c r="F68" i="44" s="1"/>
  <c r="F70" i="44" s="1"/>
  <c r="C97" i="72"/>
  <c r="E392" i="71"/>
  <c r="E102" i="44"/>
  <c r="E99" i="44" s="1"/>
  <c r="E101" i="44" s="1"/>
  <c r="K48" i="44"/>
  <c r="K104" i="44"/>
  <c r="D47" i="44"/>
  <c r="D44" i="44" s="1"/>
  <c r="D46" i="44" s="1"/>
  <c r="E6" i="44"/>
  <c r="E4" i="44" s="1"/>
  <c r="E3" i="44" s="1"/>
  <c r="C3" i="70" s="1"/>
  <c r="C43" i="70" s="1"/>
  <c r="F208" i="44"/>
  <c r="F150" i="44"/>
  <c r="K150" i="44" s="1"/>
  <c r="F34" i="44"/>
  <c r="F25" i="44" s="1"/>
  <c r="K37" i="44"/>
  <c r="K35" i="44"/>
  <c r="H118" i="44"/>
  <c r="K72" i="44"/>
  <c r="C15" i="72"/>
  <c r="C58" i="72" s="1"/>
  <c r="F26" i="44"/>
  <c r="F47" i="44"/>
  <c r="F44" i="44" s="1"/>
  <c r="F46" i="44" s="1"/>
  <c r="F7" i="69"/>
  <c r="M7" i="69" s="1"/>
  <c r="K50" i="44"/>
  <c r="F16" i="53"/>
  <c r="F15" i="53" s="1"/>
  <c r="F14" i="53" s="1"/>
  <c r="F6" i="44"/>
  <c r="D6" i="70" s="1"/>
  <c r="C91" i="72"/>
  <c r="E712" i="71"/>
  <c r="E459" i="71"/>
  <c r="E535" i="71"/>
  <c r="E630" i="71"/>
  <c r="E627" i="71" s="1"/>
  <c r="E418" i="71"/>
  <c r="E612" i="71"/>
  <c r="E668" i="71"/>
  <c r="E399" i="71"/>
  <c r="E465" i="71"/>
  <c r="E456" i="71"/>
  <c r="E503" i="71"/>
  <c r="E500" i="71" s="1"/>
  <c r="G17" i="62"/>
  <c r="G15" i="62" s="1"/>
  <c r="G14" i="62" s="1"/>
  <c r="G187" i="44"/>
  <c r="D149" i="44"/>
  <c r="D148" i="44" s="1"/>
  <c r="B10" i="70" s="1"/>
  <c r="K57" i="44"/>
  <c r="I44" i="44"/>
  <c r="I46" i="44" s="1"/>
  <c r="G44" i="44"/>
  <c r="G46" i="44" s="1"/>
  <c r="D8" i="70"/>
  <c r="F5" i="44"/>
  <c r="D5" i="70" s="1"/>
  <c r="I149" i="44"/>
  <c r="I148" i="44" s="1"/>
  <c r="G10" i="70" s="1"/>
  <c r="G44" i="70" s="1"/>
  <c r="E149" i="44"/>
  <c r="E148" i="44" s="1"/>
  <c r="C10" i="70" s="1"/>
  <c r="E129" i="44"/>
  <c r="F124" i="44"/>
  <c r="J37" i="51"/>
  <c r="J9" i="51" s="1"/>
  <c r="Q9" i="51" s="1"/>
  <c r="E81" i="44"/>
  <c r="E83" i="44" s="1"/>
  <c r="F64" i="72"/>
  <c r="F66" i="72" s="1"/>
  <c r="F58" i="72"/>
  <c r="D64" i="72"/>
  <c r="D66" i="72" s="1"/>
  <c r="D58" i="72"/>
  <c r="E64" i="72"/>
  <c r="E66" i="72" s="1"/>
  <c r="E58" i="72"/>
  <c r="H124" i="44"/>
  <c r="D139" i="44"/>
  <c r="H139" i="44"/>
  <c r="G67" i="52"/>
  <c r="G66" i="52" s="1"/>
  <c r="H57" i="58"/>
  <c r="H56" i="58" s="1"/>
  <c r="H55" i="58" s="1"/>
  <c r="F129" i="44"/>
  <c r="K119" i="44"/>
  <c r="H133" i="44"/>
  <c r="H25" i="62" s="1"/>
  <c r="H23" i="62" s="1"/>
  <c r="H22" i="62" s="1"/>
  <c r="I187" i="44"/>
  <c r="D36" i="70"/>
  <c r="F187" i="44"/>
  <c r="H149" i="44"/>
  <c r="H148" i="44" s="1"/>
  <c r="F10" i="70" s="1"/>
  <c r="F11" i="70" s="1"/>
  <c r="F13" i="70" s="1"/>
  <c r="J15" i="61"/>
  <c r="J14" i="61" s="1"/>
  <c r="F137" i="44"/>
  <c r="K137" i="44" s="1"/>
  <c r="L628" i="71"/>
  <c r="L625" i="71"/>
  <c r="L615" i="71"/>
  <c r="L609" i="71"/>
  <c r="L393" i="71"/>
  <c r="E651" i="71"/>
  <c r="E709" i="71"/>
  <c r="L687" i="71"/>
  <c r="L656" i="71"/>
  <c r="L653" i="71"/>
  <c r="L592" i="71"/>
  <c r="L588" i="71" s="1"/>
  <c r="L593" i="71"/>
  <c r="L589" i="71" s="1"/>
  <c r="L462" i="71"/>
  <c r="L501" i="71"/>
  <c r="L552" i="71"/>
  <c r="L680" i="71"/>
  <c r="L679" i="71" s="1"/>
  <c r="L684" i="71"/>
  <c r="L709" i="71"/>
  <c r="L216" i="71"/>
  <c r="L222" i="71"/>
  <c r="L415" i="71"/>
  <c r="L550" i="71"/>
  <c r="L549" i="71" s="1"/>
  <c r="L456" i="71"/>
  <c r="L469" i="71"/>
  <c r="F572" i="71"/>
  <c r="L650" i="71"/>
  <c r="L662" i="71"/>
  <c r="L651" i="71"/>
  <c r="L665" i="71"/>
  <c r="E37" i="51"/>
  <c r="E9" i="51" s="1"/>
  <c r="G49" i="58"/>
  <c r="G48" i="58" s="1"/>
  <c r="G47" i="58" s="1"/>
  <c r="F57" i="58"/>
  <c r="F56" i="58" s="1"/>
  <c r="F55" i="58" s="1"/>
  <c r="J12" i="53"/>
  <c r="J11" i="53" s="1"/>
  <c r="J10" i="53" s="1"/>
  <c r="I37" i="51"/>
  <c r="I35" i="51" s="1"/>
  <c r="I34" i="51" s="1"/>
  <c r="I56" i="59"/>
  <c r="I55" i="59" s="1"/>
  <c r="I54" i="59" s="1"/>
  <c r="I12" i="53"/>
  <c r="I11" i="53" s="1"/>
  <c r="I10" i="53" s="1"/>
  <c r="H41" i="70"/>
  <c r="F41" i="70"/>
  <c r="G37" i="51"/>
  <c r="G9" i="51" s="1"/>
  <c r="N9" i="51" s="1"/>
  <c r="H37" i="51"/>
  <c r="H35" i="51" s="1"/>
  <c r="H34" i="51" s="1"/>
  <c r="D37" i="51"/>
  <c r="D35" i="51" s="1"/>
  <c r="D34" i="51" s="1"/>
  <c r="E706" i="71"/>
  <c r="E704" i="71"/>
  <c r="E702" i="71" s="1"/>
  <c r="E701" i="71" s="1"/>
  <c r="L704" i="71"/>
  <c r="L702" i="71" s="1"/>
  <c r="L701" i="71" s="1"/>
  <c r="L706" i="71"/>
  <c r="L594" i="71"/>
  <c r="L532" i="71"/>
  <c r="L618" i="71"/>
  <c r="E205" i="44"/>
  <c r="E49" i="58"/>
  <c r="E48" i="58" s="1"/>
  <c r="E47" i="58" s="1"/>
  <c r="D65" i="58"/>
  <c r="D64" i="58" s="1"/>
  <c r="D63" i="58" s="1"/>
  <c r="H41" i="58"/>
  <c r="H40" i="58" s="1"/>
  <c r="H39" i="58" s="1"/>
  <c r="J57" i="58"/>
  <c r="J56" i="58" s="1"/>
  <c r="J55" i="58" s="1"/>
  <c r="D9" i="61"/>
  <c r="K9" i="61" s="1"/>
  <c r="J36" i="59"/>
  <c r="J35" i="59" s="1"/>
  <c r="J34" i="59" s="1"/>
  <c r="H13" i="63"/>
  <c r="H8" i="63" s="1"/>
  <c r="H56" i="59"/>
  <c r="H55" i="59" s="1"/>
  <c r="H54" i="59" s="1"/>
  <c r="I24" i="58"/>
  <c r="I15" i="58" s="1"/>
  <c r="I14" i="58" s="1"/>
  <c r="I13" i="58" s="1"/>
  <c r="D29" i="58"/>
  <c r="D28" i="58" s="1"/>
  <c r="D27" i="58" s="1"/>
  <c r="G41" i="70"/>
  <c r="C41" i="70"/>
  <c r="K170" i="44"/>
  <c r="J12" i="60"/>
  <c r="J8" i="60" s="1"/>
  <c r="G13" i="61"/>
  <c r="G11" i="61" s="1"/>
  <c r="G10" i="61" s="1"/>
  <c r="G13" i="50"/>
  <c r="G9" i="50" s="1"/>
  <c r="N9" i="50" s="1"/>
  <c r="D169" i="44"/>
  <c r="D165" i="44" s="1"/>
  <c r="B14" i="70" s="1"/>
  <c r="H81" i="44"/>
  <c r="H83" i="44" s="1"/>
  <c r="K109" i="44"/>
  <c r="K140" i="44"/>
  <c r="J49" i="58"/>
  <c r="J48" i="58" s="1"/>
  <c r="J47" i="58" s="1"/>
  <c r="F12" i="60"/>
  <c r="F8" i="60" s="1"/>
  <c r="G15" i="63"/>
  <c r="G10" i="63" s="1"/>
  <c r="N10" i="63" s="1"/>
  <c r="E68" i="51"/>
  <c r="E67" i="51" s="1"/>
  <c r="E66" i="51" s="1"/>
  <c r="H55" i="52"/>
  <c r="H54" i="52" s="1"/>
  <c r="J56" i="59"/>
  <c r="J55" i="59" s="1"/>
  <c r="J54" i="59" s="1"/>
  <c r="E13" i="61"/>
  <c r="E11" i="61" s="1"/>
  <c r="E10" i="61" s="1"/>
  <c r="D36" i="59"/>
  <c r="D35" i="59" s="1"/>
  <c r="D34" i="59" s="1"/>
  <c r="D15" i="61"/>
  <c r="D14" i="61" s="1"/>
  <c r="K8" i="44"/>
  <c r="I8" i="70" s="1"/>
  <c r="B47" i="70"/>
  <c r="H27" i="70"/>
  <c r="H29" i="70" s="1"/>
  <c r="D205" i="44"/>
  <c r="G149" i="44"/>
  <c r="E139" i="44"/>
  <c r="E13" i="63"/>
  <c r="E8" i="63" s="1"/>
  <c r="F13" i="62"/>
  <c r="F9" i="62" s="1"/>
  <c r="M9" i="62" s="1"/>
  <c r="I11" i="64"/>
  <c r="I8" i="64" s="1"/>
  <c r="I7" i="64" s="1"/>
  <c r="I6" i="64" s="1"/>
  <c r="P6" i="64" s="1"/>
  <c r="K123" i="44"/>
  <c r="F15" i="61"/>
  <c r="F14" i="61" s="1"/>
  <c r="D60" i="58"/>
  <c r="D59" i="58" s="1"/>
  <c r="E12" i="53"/>
  <c r="E8" i="53" s="1"/>
  <c r="F60" i="52"/>
  <c r="F68" i="51"/>
  <c r="F67" i="51" s="1"/>
  <c r="F66" i="51" s="1"/>
  <c r="G28" i="51"/>
  <c r="G27" i="51" s="1"/>
  <c r="G26" i="51" s="1"/>
  <c r="K161" i="44"/>
  <c r="D27" i="70"/>
  <c r="D29" i="70" s="1"/>
  <c r="D48" i="70"/>
  <c r="F23" i="70"/>
  <c r="F25" i="70" s="1"/>
  <c r="F47" i="70"/>
  <c r="F165" i="44"/>
  <c r="D14" i="70" s="1"/>
  <c r="D45" i="70" s="1"/>
  <c r="K90" i="44"/>
  <c r="F28" i="51"/>
  <c r="F27" i="51" s="1"/>
  <c r="F26" i="51" s="1"/>
  <c r="F31" i="51"/>
  <c r="F30" i="51" s="1"/>
  <c r="I71" i="51"/>
  <c r="I70" i="51" s="1"/>
  <c r="I68" i="51"/>
  <c r="I67" i="51" s="1"/>
  <c r="I66" i="51" s="1"/>
  <c r="H39" i="52"/>
  <c r="H38" i="52" s="1"/>
  <c r="H13" i="52"/>
  <c r="G15" i="54"/>
  <c r="G14" i="54" s="1"/>
  <c r="G12" i="54"/>
  <c r="G8" i="54" s="1"/>
  <c r="I44" i="58"/>
  <c r="I43" i="58" s="1"/>
  <c r="I41" i="58"/>
  <c r="I40" i="58" s="1"/>
  <c r="I39" i="58" s="1"/>
  <c r="F52" i="58"/>
  <c r="F51" i="58" s="1"/>
  <c r="F49" i="58"/>
  <c r="F48" i="58" s="1"/>
  <c r="F47" i="58" s="1"/>
  <c r="E60" i="58"/>
  <c r="E59" i="58" s="1"/>
  <c r="E57" i="58"/>
  <c r="E56" i="58" s="1"/>
  <c r="E55" i="58" s="1"/>
  <c r="G56" i="59"/>
  <c r="G55" i="59" s="1"/>
  <c r="G54" i="59" s="1"/>
  <c r="G59" i="59"/>
  <c r="G58" i="59" s="1"/>
  <c r="D12" i="60"/>
  <c r="D15" i="60"/>
  <c r="D14" i="60" s="1"/>
  <c r="I15" i="60"/>
  <c r="I14" i="60" s="1"/>
  <c r="I12" i="60"/>
  <c r="I11" i="60" s="1"/>
  <c r="I10" i="60" s="1"/>
  <c r="D16" i="64"/>
  <c r="D15" i="64" s="1"/>
  <c r="D11" i="64"/>
  <c r="D8" i="64" s="1"/>
  <c r="D7" i="64" s="1"/>
  <c r="D6" i="64" s="1"/>
  <c r="K6" i="64" s="1"/>
  <c r="E488" i="71"/>
  <c r="E413" i="71" s="1"/>
  <c r="E489" i="71"/>
  <c r="D12" i="44"/>
  <c r="K184" i="44"/>
  <c r="C48" i="70"/>
  <c r="E165" i="44"/>
  <c r="C14" i="70" s="1"/>
  <c r="C15" i="70" s="1"/>
  <c r="C17" i="70" s="1"/>
  <c r="H99" i="44"/>
  <c r="H101" i="44" s="1"/>
  <c r="F99" i="44"/>
  <c r="F101" i="44" s="1"/>
  <c r="K114" i="44"/>
  <c r="K122" i="44"/>
  <c r="J56" i="51"/>
  <c r="J55" i="51" s="1"/>
  <c r="J54" i="51" s="1"/>
  <c r="E56" i="51"/>
  <c r="E55" i="51" s="1"/>
  <c r="E54" i="51" s="1"/>
  <c r="H65" i="58"/>
  <c r="H64" i="58" s="1"/>
  <c r="H63" i="58" s="1"/>
  <c r="E36" i="59"/>
  <c r="E35" i="59" s="1"/>
  <c r="E34" i="59" s="1"/>
  <c r="E59" i="59"/>
  <c r="E58" i="59" s="1"/>
  <c r="G61" i="52"/>
  <c r="F11" i="64"/>
  <c r="H31" i="51"/>
  <c r="H30" i="51" s="1"/>
  <c r="D39" i="50"/>
  <c r="D38" i="50" s="1"/>
  <c r="D13" i="50"/>
  <c r="D9" i="50" s="1"/>
  <c r="K9" i="50" s="1"/>
  <c r="E19" i="62"/>
  <c r="E18" i="62" s="1"/>
  <c r="E12" i="62"/>
  <c r="E8" i="62" s="1"/>
  <c r="J21" i="63"/>
  <c r="J20" i="63" s="1"/>
  <c r="J13" i="63"/>
  <c r="J8" i="63" s="1"/>
  <c r="Q8" i="63" s="1"/>
  <c r="D15" i="63"/>
  <c r="D10" i="63" s="1"/>
  <c r="K10" i="63" s="1"/>
  <c r="D25" i="63"/>
  <c r="D24" i="63" s="1"/>
  <c r="I25" i="63"/>
  <c r="I24" i="63" s="1"/>
  <c r="I15" i="63"/>
  <c r="I10" i="63" s="1"/>
  <c r="P10" i="63" s="1"/>
  <c r="E25" i="63"/>
  <c r="E24" i="63" s="1"/>
  <c r="E15" i="63"/>
  <c r="E10" i="63" s="1"/>
  <c r="L10" i="63" s="1"/>
  <c r="E41" i="70"/>
  <c r="E470" i="71"/>
  <c r="E469" i="71" s="1"/>
  <c r="E472" i="71"/>
  <c r="K39" i="44"/>
  <c r="K155" i="44"/>
  <c r="J60" i="52"/>
  <c r="D12" i="51"/>
  <c r="D11" i="51" s="1"/>
  <c r="D10" i="51" s="1"/>
  <c r="I12" i="51"/>
  <c r="I11" i="51" s="1"/>
  <c r="I10" i="51" s="1"/>
  <c r="B41" i="70"/>
  <c r="K28" i="44"/>
  <c r="E603" i="71"/>
  <c r="K32" i="44"/>
  <c r="K92" i="44"/>
  <c r="G8" i="53"/>
  <c r="G7" i="53" s="1"/>
  <c r="G6" i="53" s="1"/>
  <c r="N6" i="53" s="1"/>
  <c r="F56" i="51"/>
  <c r="F55" i="51" s="1"/>
  <c r="F54" i="51" s="1"/>
  <c r="D56" i="51"/>
  <c r="D55" i="51" s="1"/>
  <c r="D54" i="51" s="1"/>
  <c r="E13" i="50"/>
  <c r="E9" i="50" s="1"/>
  <c r="L9" i="50" s="1"/>
  <c r="I13" i="50"/>
  <c r="I9" i="50" s="1"/>
  <c r="P9" i="50" s="1"/>
  <c r="I57" i="58"/>
  <c r="I56" i="58" s="1"/>
  <c r="I55" i="58" s="1"/>
  <c r="I49" i="58"/>
  <c r="I48" i="58" s="1"/>
  <c r="I47" i="58" s="1"/>
  <c r="I29" i="58"/>
  <c r="I28" i="58" s="1"/>
  <c r="I27" i="58" s="1"/>
  <c r="H29" i="58"/>
  <c r="H28" i="58" s="1"/>
  <c r="H27" i="58" s="1"/>
  <c r="H49" i="58"/>
  <c r="H48" i="58" s="1"/>
  <c r="H47" i="58" s="1"/>
  <c r="D61" i="52"/>
  <c r="G71" i="51"/>
  <c r="G70" i="51" s="1"/>
  <c r="H15" i="53"/>
  <c r="H14" i="53" s="1"/>
  <c r="G53" i="52"/>
  <c r="G51" i="52" s="1"/>
  <c r="G50" i="52" s="1"/>
  <c r="I53" i="52"/>
  <c r="I51" i="52" s="1"/>
  <c r="I50" i="52" s="1"/>
  <c r="D71" i="51"/>
  <c r="D70" i="51" s="1"/>
  <c r="D55" i="52"/>
  <c r="D54" i="52" s="1"/>
  <c r="J31" i="51"/>
  <c r="J30" i="51" s="1"/>
  <c r="G15" i="58"/>
  <c r="G14" i="58" s="1"/>
  <c r="G13" i="58" s="1"/>
  <c r="E162" i="71"/>
  <c r="C46" i="70"/>
  <c r="C19" i="70"/>
  <c r="C21" i="70" s="1"/>
  <c r="F9" i="61"/>
  <c r="M9" i="61" s="1"/>
  <c r="F11" i="61"/>
  <c r="F10" i="61" s="1"/>
  <c r="K160" i="44"/>
  <c r="E46" i="70"/>
  <c r="E19" i="70"/>
  <c r="E21" i="70" s="1"/>
  <c r="H14" i="70"/>
  <c r="H45" i="70" s="1"/>
  <c r="G165" i="44"/>
  <c r="E14" i="70" s="1"/>
  <c r="H10" i="70"/>
  <c r="H44" i="70" s="1"/>
  <c r="K138" i="44"/>
  <c r="F59" i="59"/>
  <c r="F58" i="59" s="1"/>
  <c r="F56" i="59"/>
  <c r="F55" i="59" s="1"/>
  <c r="F54" i="59" s="1"/>
  <c r="H15" i="60"/>
  <c r="H14" i="60" s="1"/>
  <c r="H12" i="60"/>
  <c r="E15" i="60"/>
  <c r="E14" i="60" s="1"/>
  <c r="E12" i="60"/>
  <c r="F19" i="62"/>
  <c r="F18" i="62" s="1"/>
  <c r="F12" i="62"/>
  <c r="F17" i="63"/>
  <c r="F16" i="63" s="1"/>
  <c r="F13" i="63"/>
  <c r="F8" i="63" s="1"/>
  <c r="D21" i="63"/>
  <c r="D20" i="63" s="1"/>
  <c r="D13" i="63"/>
  <c r="G21" i="63"/>
  <c r="G20" i="63" s="1"/>
  <c r="G13" i="63"/>
  <c r="F25" i="63"/>
  <c r="F24" i="63" s="1"/>
  <c r="F15" i="63"/>
  <c r="F10" i="63" s="1"/>
  <c r="M10" i="63" s="1"/>
  <c r="J16" i="64"/>
  <c r="J15" i="64" s="1"/>
  <c r="J11" i="64"/>
  <c r="H13" i="64"/>
  <c r="H12" i="64" s="1"/>
  <c r="H11" i="64"/>
  <c r="E13" i="64"/>
  <c r="E12" i="64" s="1"/>
  <c r="E11" i="64"/>
  <c r="H131" i="44"/>
  <c r="G130" i="44"/>
  <c r="G127" i="44" s="1"/>
  <c r="K175" i="44"/>
  <c r="G128" i="44"/>
  <c r="G47" i="70"/>
  <c r="I165" i="44"/>
  <c r="G14" i="70" s="1"/>
  <c r="J9" i="61"/>
  <c r="Q9" i="61" s="1"/>
  <c r="E13" i="62"/>
  <c r="E9" i="62" s="1"/>
  <c r="I13" i="63"/>
  <c r="H15" i="63"/>
  <c r="H10" i="63" s="1"/>
  <c r="O10" i="63" s="1"/>
  <c r="H15" i="61"/>
  <c r="H14" i="61" s="1"/>
  <c r="J15" i="63"/>
  <c r="J10" i="63" s="1"/>
  <c r="J19" i="59"/>
  <c r="J18" i="59" s="1"/>
  <c r="J12" i="59"/>
  <c r="J11" i="59" s="1"/>
  <c r="J10" i="59" s="1"/>
  <c r="G19" i="62"/>
  <c r="G18" i="62" s="1"/>
  <c r="G12" i="62"/>
  <c r="G8" i="62" s="1"/>
  <c r="I99" i="44"/>
  <c r="I101" i="44" s="1"/>
  <c r="D124" i="44"/>
  <c r="I124" i="44"/>
  <c r="G124" i="44"/>
  <c r="E539" i="71" s="1"/>
  <c r="E538" i="71" s="1"/>
  <c r="E124" i="44"/>
  <c r="G205" i="44"/>
  <c r="E529" i="71"/>
  <c r="E528" i="71" s="1"/>
  <c r="E532" i="71"/>
  <c r="E619" i="71"/>
  <c r="E616" i="71" s="1"/>
  <c r="E615" i="71" s="1"/>
  <c r="E621" i="71"/>
  <c r="E688" i="71"/>
  <c r="E687" i="71" s="1"/>
  <c r="E690" i="71"/>
  <c r="E41" i="58"/>
  <c r="E40" i="58" s="1"/>
  <c r="E39" i="58" s="1"/>
  <c r="J41" i="58"/>
  <c r="J40" i="58" s="1"/>
  <c r="J39" i="58" s="1"/>
  <c r="I81" i="44"/>
  <c r="I83" i="44" s="1"/>
  <c r="H8" i="53"/>
  <c r="H7" i="53" s="1"/>
  <c r="H6" i="53" s="1"/>
  <c r="O6" i="53" s="1"/>
  <c r="H11" i="53"/>
  <c r="H10" i="53" s="1"/>
  <c r="K45" i="44"/>
  <c r="J67" i="52"/>
  <c r="J66" i="52" s="1"/>
  <c r="J12" i="54"/>
  <c r="J11" i="54" s="1"/>
  <c r="J10" i="54" s="1"/>
  <c r="E60" i="52"/>
  <c r="E53" i="52"/>
  <c r="E51" i="52" s="1"/>
  <c r="E50" i="52" s="1"/>
  <c r="D60" i="52"/>
  <c r="D25" i="44"/>
  <c r="D27" i="44" s="1"/>
  <c r="G25" i="44"/>
  <c r="G27" i="44" s="1"/>
  <c r="D28" i="51"/>
  <c r="D27" i="51" s="1"/>
  <c r="D26" i="51" s="1"/>
  <c r="J205" i="44"/>
  <c r="H205" i="44"/>
  <c r="I25" i="44"/>
  <c r="I27" i="44" s="1"/>
  <c r="H12" i="44"/>
  <c r="E12" i="50"/>
  <c r="E8" i="50" s="1"/>
  <c r="K96" i="44"/>
  <c r="K94" i="44"/>
  <c r="E462" i="71"/>
  <c r="E665" i="71"/>
  <c r="K144" i="44"/>
  <c r="F9" i="44"/>
  <c r="K145" i="44"/>
  <c r="G99" i="44"/>
  <c r="G101" i="44" s="1"/>
  <c r="D81" i="44"/>
  <c r="D83" i="44" s="1"/>
  <c r="G81" i="44"/>
  <c r="G83" i="44" s="1"/>
  <c r="G65" i="58"/>
  <c r="G64" i="58" s="1"/>
  <c r="G63" i="58" s="1"/>
  <c r="K87" i="44"/>
  <c r="I205" i="44"/>
  <c r="E29" i="58"/>
  <c r="E28" i="58" s="1"/>
  <c r="E27" i="58" s="1"/>
  <c r="F29" i="58"/>
  <c r="F28" i="58" s="1"/>
  <c r="F27" i="58" s="1"/>
  <c r="J29" i="58"/>
  <c r="J28" i="58" s="1"/>
  <c r="J27" i="58" s="1"/>
  <c r="D32" i="58"/>
  <c r="D31" i="58" s="1"/>
  <c r="D13" i="52"/>
  <c r="I13" i="52"/>
  <c r="K42" i="44"/>
  <c r="H56" i="51"/>
  <c r="H55" i="51" s="1"/>
  <c r="H54" i="51" s="1"/>
  <c r="G56" i="51"/>
  <c r="G55" i="51" s="1"/>
  <c r="G54" i="51" s="1"/>
  <c r="H25" i="44"/>
  <c r="H27" i="44" s="1"/>
  <c r="K11" i="44"/>
  <c r="I12" i="44"/>
  <c r="G12" i="44"/>
  <c r="E12" i="44"/>
  <c r="D118" i="44"/>
  <c r="K116" i="44"/>
  <c r="D70" i="44"/>
  <c r="J22" i="58"/>
  <c r="J24" i="58"/>
  <c r="J15" i="58" s="1"/>
  <c r="J14" i="58" s="1"/>
  <c r="J13" i="58" s="1"/>
  <c r="H22" i="58"/>
  <c r="H24" i="58"/>
  <c r="H15" i="58" s="1"/>
  <c r="H14" i="58" s="1"/>
  <c r="H13" i="58" s="1"/>
  <c r="K125" i="44"/>
  <c r="K60" i="44"/>
  <c r="C5" i="70"/>
  <c r="I56" i="51"/>
  <c r="I55" i="51" s="1"/>
  <c r="I54" i="51" s="1"/>
  <c r="H12" i="50"/>
  <c r="H8" i="50" s="1"/>
  <c r="G36" i="59"/>
  <c r="G35" i="59" s="1"/>
  <c r="G34" i="59" s="1"/>
  <c r="I36" i="59"/>
  <c r="I35" i="59" s="1"/>
  <c r="I34" i="59" s="1"/>
  <c r="F36" i="59"/>
  <c r="F35" i="59" s="1"/>
  <c r="F34" i="59" s="1"/>
  <c r="H12" i="54"/>
  <c r="H36" i="59"/>
  <c r="H35" i="59" s="1"/>
  <c r="H34" i="59" s="1"/>
  <c r="G13" i="52"/>
  <c r="E13" i="52"/>
  <c r="D12" i="53"/>
  <c r="E12" i="51"/>
  <c r="E11" i="51" s="1"/>
  <c r="E10" i="51" s="1"/>
  <c r="D12" i="50"/>
  <c r="D8" i="50" s="1"/>
  <c r="D12" i="59"/>
  <c r="H12" i="59"/>
  <c r="G12" i="59"/>
  <c r="D76" i="44"/>
  <c r="D67" i="51"/>
  <c r="D66" i="51" s="1"/>
  <c r="D51" i="52"/>
  <c r="D50" i="52" s="1"/>
  <c r="F19" i="70"/>
  <c r="F21" i="70" s="1"/>
  <c r="F46" i="70"/>
  <c r="H19" i="70"/>
  <c r="H21" i="70" s="1"/>
  <c r="H46" i="70"/>
  <c r="G19" i="70"/>
  <c r="G21" i="70" s="1"/>
  <c r="G46" i="70"/>
  <c r="H166" i="44"/>
  <c r="K167" i="44"/>
  <c r="H28" i="62"/>
  <c r="H27" i="62" s="1"/>
  <c r="H26" i="62" s="1"/>
  <c r="I134" i="44"/>
  <c r="J134" i="44" s="1"/>
  <c r="E23" i="70"/>
  <c r="E25" i="70" s="1"/>
  <c r="E47" i="70"/>
  <c r="E27" i="70"/>
  <c r="E29" i="70" s="1"/>
  <c r="E48" i="70"/>
  <c r="G27" i="70"/>
  <c r="G29" i="70" s="1"/>
  <c r="G48" i="70"/>
  <c r="F27" i="70"/>
  <c r="F29" i="70" s="1"/>
  <c r="F48" i="70"/>
  <c r="F12" i="51"/>
  <c r="F15" i="51"/>
  <c r="F14" i="51" s="1"/>
  <c r="H60" i="52"/>
  <c r="H67" i="52"/>
  <c r="H66" i="52" s="1"/>
  <c r="J23" i="51"/>
  <c r="J22" i="51" s="1"/>
  <c r="J12" i="51"/>
  <c r="G19" i="50"/>
  <c r="G18" i="50" s="1"/>
  <c r="G12" i="50"/>
  <c r="J23" i="50"/>
  <c r="J22" i="50" s="1"/>
  <c r="J12" i="50"/>
  <c r="F23" i="50"/>
  <c r="F22" i="50" s="1"/>
  <c r="J39" i="50"/>
  <c r="J38" i="50" s="1"/>
  <c r="J13" i="50"/>
  <c r="J9" i="50" s="1"/>
  <c r="Q9" i="50" s="1"/>
  <c r="F39" i="50"/>
  <c r="F38" i="50" s="1"/>
  <c r="F13" i="50"/>
  <c r="F9" i="50" s="1"/>
  <c r="M9" i="50" s="1"/>
  <c r="H15" i="52"/>
  <c r="H14" i="52" s="1"/>
  <c r="H12" i="52"/>
  <c r="I63" i="52"/>
  <c r="I62" i="52" s="1"/>
  <c r="I60" i="52"/>
  <c r="D24" i="58"/>
  <c r="D15" i="58" s="1"/>
  <c r="D22" i="58"/>
  <c r="E22" i="58"/>
  <c r="E24" i="58"/>
  <c r="E15" i="58" s="1"/>
  <c r="G44" i="58"/>
  <c r="G43" i="58" s="1"/>
  <c r="G41" i="58"/>
  <c r="G40" i="58" s="1"/>
  <c r="G39" i="58" s="1"/>
  <c r="D49" i="58"/>
  <c r="D48" i="58" s="1"/>
  <c r="D47" i="58" s="1"/>
  <c r="D52" i="58"/>
  <c r="D51" i="58" s="1"/>
  <c r="G60" i="58"/>
  <c r="G59" i="58" s="1"/>
  <c r="G57" i="58"/>
  <c r="G56" i="58" s="1"/>
  <c r="G55" i="58" s="1"/>
  <c r="J68" i="58"/>
  <c r="J67" i="58" s="1"/>
  <c r="J65" i="58"/>
  <c r="J64" i="58" s="1"/>
  <c r="J63" i="58" s="1"/>
  <c r="F68" i="58"/>
  <c r="F67" i="58" s="1"/>
  <c r="F65" i="58"/>
  <c r="F64" i="58" s="1"/>
  <c r="F63" i="58" s="1"/>
  <c r="F23" i="59"/>
  <c r="F22" i="59" s="1"/>
  <c r="F12" i="59"/>
  <c r="F11" i="59" s="1"/>
  <c r="F10" i="59" s="1"/>
  <c r="E27" i="59"/>
  <c r="E26" i="59" s="1"/>
  <c r="E12" i="59"/>
  <c r="G15" i="60"/>
  <c r="G14" i="60" s="1"/>
  <c r="G12" i="60"/>
  <c r="I15" i="61"/>
  <c r="I14" i="61" s="1"/>
  <c r="I13" i="61"/>
  <c r="C22" i="70"/>
  <c r="D19" i="70"/>
  <c r="D21" i="70" s="1"/>
  <c r="K183" i="44"/>
  <c r="D182" i="44"/>
  <c r="F6" i="70"/>
  <c r="D173" i="44"/>
  <c r="K174" i="44"/>
  <c r="G157" i="44"/>
  <c r="K158" i="44"/>
  <c r="D19" i="62"/>
  <c r="D18" i="62" s="1"/>
  <c r="D12" i="62"/>
  <c r="H20" i="62"/>
  <c r="I132" i="44"/>
  <c r="H23" i="70"/>
  <c r="H25" i="70" s="1"/>
  <c r="H47" i="70"/>
  <c r="H68" i="51"/>
  <c r="H67" i="51" s="1"/>
  <c r="H66" i="51" s="1"/>
  <c r="I12" i="50"/>
  <c r="D44" i="58"/>
  <c r="D43" i="58" s="1"/>
  <c r="G29" i="58"/>
  <c r="G28" i="58" s="1"/>
  <c r="G27" i="58" s="1"/>
  <c r="E65" i="58"/>
  <c r="E64" i="58" s="1"/>
  <c r="E63" i="58" s="1"/>
  <c r="I65" i="58"/>
  <c r="I64" i="58" s="1"/>
  <c r="I63" i="58" s="1"/>
  <c r="H11" i="61"/>
  <c r="H10" i="61" s="1"/>
  <c r="H9" i="61"/>
  <c r="I12" i="59"/>
  <c r="J12" i="52"/>
  <c r="E61" i="52"/>
  <c r="H61" i="52"/>
  <c r="I12" i="52"/>
  <c r="G12" i="52"/>
  <c r="I31" i="51"/>
  <c r="I30" i="51" s="1"/>
  <c r="I28" i="51"/>
  <c r="E31" i="51"/>
  <c r="E30" i="51" s="1"/>
  <c r="E28" i="51"/>
  <c r="J71" i="51"/>
  <c r="J70" i="51" s="1"/>
  <c r="J68" i="51"/>
  <c r="J67" i="51" s="1"/>
  <c r="J66" i="51" s="1"/>
  <c r="H39" i="50"/>
  <c r="H38" i="50" s="1"/>
  <c r="H13" i="50"/>
  <c r="H9" i="50" s="1"/>
  <c r="O9" i="50" s="1"/>
  <c r="J39" i="52"/>
  <c r="J38" i="52" s="1"/>
  <c r="J13" i="52"/>
  <c r="F39" i="52"/>
  <c r="F38" i="52" s="1"/>
  <c r="F13" i="52"/>
  <c r="J55" i="52"/>
  <c r="J54" i="52" s="1"/>
  <c r="J53" i="52"/>
  <c r="J51" i="52" s="1"/>
  <c r="J50" i="52" s="1"/>
  <c r="F55" i="52"/>
  <c r="F54" i="52" s="1"/>
  <c r="F53" i="52"/>
  <c r="F51" i="52" s="1"/>
  <c r="F50" i="52" s="1"/>
  <c r="I71" i="52"/>
  <c r="I70" i="52" s="1"/>
  <c r="I61" i="52"/>
  <c r="J75" i="52"/>
  <c r="J74" i="52" s="1"/>
  <c r="J61" i="52"/>
  <c r="F75" i="52"/>
  <c r="F74" i="52" s="1"/>
  <c r="F61" i="52"/>
  <c r="I15" i="54"/>
  <c r="I14" i="54" s="1"/>
  <c r="I12" i="54"/>
  <c r="E15" i="54"/>
  <c r="E14" i="54" s="1"/>
  <c r="E12" i="54"/>
  <c r="G15" i="51"/>
  <c r="G14" i="51" s="1"/>
  <c r="G12" i="51"/>
  <c r="H19" i="51"/>
  <c r="H18" i="51" s="1"/>
  <c r="H12" i="51"/>
  <c r="D12" i="54"/>
  <c r="G13" i="64"/>
  <c r="G12" i="64" s="1"/>
  <c r="G11" i="64"/>
  <c r="E159" i="71"/>
  <c r="E219" i="71"/>
  <c r="E217" i="71"/>
  <c r="E216" i="71" s="1"/>
  <c r="E225" i="71"/>
  <c r="E554" i="71"/>
  <c r="E555" i="71"/>
  <c r="E611" i="71"/>
  <c r="E609" i="71" s="1"/>
  <c r="E596" i="71"/>
  <c r="E593" i="71" s="1"/>
  <c r="E659" i="71"/>
  <c r="E657" i="71"/>
  <c r="E507" i="71"/>
  <c r="E502" i="71"/>
  <c r="E499" i="71" s="1"/>
  <c r="E595" i="71"/>
  <c r="E629" i="71"/>
  <c r="E631" i="71"/>
  <c r="F24" i="58"/>
  <c r="L411" i="71" l="1"/>
  <c r="L12" i="71"/>
  <c r="L9" i="71" s="1"/>
  <c r="E187" i="44"/>
  <c r="K13" i="44"/>
  <c r="K179" i="44"/>
  <c r="F37" i="51"/>
  <c r="F9" i="51" s="1"/>
  <c r="M9" i="51" s="1"/>
  <c r="F149" i="44"/>
  <c r="F148" i="44" s="1"/>
  <c r="D10" i="70" s="1"/>
  <c r="D44" i="70" s="1"/>
  <c r="D201" i="44"/>
  <c r="F12" i="53"/>
  <c r="F11" i="53" s="1"/>
  <c r="F10" i="53" s="1"/>
  <c r="L649" i="71"/>
  <c r="L648" i="71" s="1"/>
  <c r="F23" i="52"/>
  <c r="F22" i="52" s="1"/>
  <c r="F12" i="54"/>
  <c r="F11" i="54" s="1"/>
  <c r="F10" i="54" s="1"/>
  <c r="D15" i="52"/>
  <c r="D14" i="52" s="1"/>
  <c r="F15" i="58"/>
  <c r="F8" i="58" s="1"/>
  <c r="F27" i="44"/>
  <c r="K68" i="44"/>
  <c r="K71" i="44"/>
  <c r="F12" i="44"/>
  <c r="K12" i="44" s="1"/>
  <c r="K34" i="44"/>
  <c r="C64" i="72"/>
  <c r="C66" i="72" s="1"/>
  <c r="C115" i="72" s="1"/>
  <c r="F11" i="60"/>
  <c r="F10" i="60" s="1"/>
  <c r="E27" i="44"/>
  <c r="F81" i="44"/>
  <c r="F83" i="44" s="1"/>
  <c r="K83" i="44" s="1"/>
  <c r="K47" i="44"/>
  <c r="D47" i="70"/>
  <c r="G59" i="52"/>
  <c r="G58" i="52" s="1"/>
  <c r="K178" i="44"/>
  <c r="K177" i="44"/>
  <c r="I22" i="70" s="1"/>
  <c r="I23" i="70" s="1"/>
  <c r="I25" i="70" s="1"/>
  <c r="L9" i="51"/>
  <c r="K26" i="44"/>
  <c r="D129" i="44"/>
  <c r="F205" i="44"/>
  <c r="K102" i="44"/>
  <c r="F12" i="50"/>
  <c r="F8" i="50" s="1"/>
  <c r="C32" i="70"/>
  <c r="C34" i="70" s="1"/>
  <c r="K77" i="44"/>
  <c r="L8" i="62"/>
  <c r="D13" i="62"/>
  <c r="D9" i="62" s="1"/>
  <c r="K9" i="62" s="1"/>
  <c r="D32" i="70"/>
  <c r="D34" i="70" s="1"/>
  <c r="C45" i="70"/>
  <c r="E412" i="71"/>
  <c r="K76" i="44"/>
  <c r="C6" i="70"/>
  <c r="E12" i="52"/>
  <c r="E8" i="52" s="1"/>
  <c r="L8" i="52" s="1"/>
  <c r="K118" i="44"/>
  <c r="D4" i="44"/>
  <c r="B4" i="70" s="1"/>
  <c r="G13" i="62"/>
  <c r="G9" i="62" s="1"/>
  <c r="G7" i="62" s="1"/>
  <c r="G6" i="62" s="1"/>
  <c r="N6" i="62" s="1"/>
  <c r="G9" i="61"/>
  <c r="N9" i="61" s="1"/>
  <c r="K169" i="44"/>
  <c r="C114" i="72"/>
  <c r="I6" i="44"/>
  <c r="C77" i="72"/>
  <c r="C78" i="72"/>
  <c r="E20" i="71"/>
  <c r="E589" i="71"/>
  <c r="E23" i="71"/>
  <c r="J7" i="61"/>
  <c r="J6" i="61" s="1"/>
  <c r="Q6" i="61" s="1"/>
  <c r="G35" i="51"/>
  <c r="G34" i="51" s="1"/>
  <c r="H128" i="44"/>
  <c r="H5" i="44"/>
  <c r="H201" i="44" s="1"/>
  <c r="K139" i="44"/>
  <c r="E11" i="53"/>
  <c r="E10" i="53" s="1"/>
  <c r="D9" i="51"/>
  <c r="K9" i="51" s="1"/>
  <c r="I8" i="53"/>
  <c r="I7" i="53" s="1"/>
  <c r="I6" i="53" s="1"/>
  <c r="P6" i="53" s="1"/>
  <c r="J35" i="51"/>
  <c r="J34" i="51" s="1"/>
  <c r="D15" i="70"/>
  <c r="D17" i="70" s="1"/>
  <c r="F4" i="44"/>
  <c r="D4" i="70" s="1"/>
  <c r="E68" i="72"/>
  <c r="E115" i="72"/>
  <c r="E116" i="72" s="1"/>
  <c r="E70" i="72"/>
  <c r="E76" i="72" s="1"/>
  <c r="D68" i="72"/>
  <c r="D115" i="72"/>
  <c r="D116" i="72" s="1"/>
  <c r="D70" i="72"/>
  <c r="D76" i="72" s="1"/>
  <c r="F70" i="72"/>
  <c r="F76" i="72" s="1"/>
  <c r="F68" i="72"/>
  <c r="F115" i="72"/>
  <c r="F116" i="72" s="1"/>
  <c r="G11" i="54"/>
  <c r="G10" i="54" s="1"/>
  <c r="J132" i="44"/>
  <c r="J6" i="44" s="1"/>
  <c r="I133" i="44"/>
  <c r="J133" i="44" s="1"/>
  <c r="F201" i="44"/>
  <c r="J8" i="53"/>
  <c r="J7" i="53" s="1"/>
  <c r="J6" i="53" s="1"/>
  <c r="Q6" i="53" s="1"/>
  <c r="E12" i="63"/>
  <c r="E11" i="63" s="1"/>
  <c r="H130" i="44"/>
  <c r="H127" i="44" s="1"/>
  <c r="L591" i="71"/>
  <c r="L587" i="71"/>
  <c r="L586" i="71" s="1"/>
  <c r="I8" i="60"/>
  <c r="P8" i="60" s="1"/>
  <c r="J11" i="60"/>
  <c r="J10" i="60" s="1"/>
  <c r="H15" i="70"/>
  <c r="H17" i="70" s="1"/>
  <c r="I9" i="51"/>
  <c r="P9" i="51" s="1"/>
  <c r="E35" i="51"/>
  <c r="E34" i="51" s="1"/>
  <c r="H9" i="51"/>
  <c r="O9" i="51" s="1"/>
  <c r="L16" i="71"/>
  <c r="F59" i="52"/>
  <c r="F58" i="52" s="1"/>
  <c r="N8" i="53"/>
  <c r="G11" i="70"/>
  <c r="G13" i="70" s="1"/>
  <c r="M8" i="60"/>
  <c r="F7" i="60"/>
  <c r="F6" i="60" s="1"/>
  <c r="M6" i="60" s="1"/>
  <c r="E11" i="62"/>
  <c r="E10" i="62" s="1"/>
  <c r="D7" i="61"/>
  <c r="D6" i="61" s="1"/>
  <c r="K6" i="61" s="1"/>
  <c r="D10" i="64"/>
  <c r="D9" i="64" s="1"/>
  <c r="J12" i="63"/>
  <c r="J11" i="63" s="1"/>
  <c r="E9" i="61"/>
  <c r="E7" i="61" s="1"/>
  <c r="E6" i="61" s="1"/>
  <c r="L6" i="61" s="1"/>
  <c r="J8" i="54"/>
  <c r="J7" i="54" s="1"/>
  <c r="J6" i="54" s="1"/>
  <c r="Q6" i="54" s="1"/>
  <c r="K99" i="44"/>
  <c r="E685" i="71"/>
  <c r="E681" i="71" s="1"/>
  <c r="E680" i="71" s="1"/>
  <c r="E679" i="71" s="1"/>
  <c r="J59" i="52"/>
  <c r="J58" i="52" s="1"/>
  <c r="J8" i="59"/>
  <c r="J7" i="59" s="1"/>
  <c r="J6" i="59" s="1"/>
  <c r="Q6" i="59" s="1"/>
  <c r="F7" i="61"/>
  <c r="F6" i="61" s="1"/>
  <c r="M6" i="61" s="1"/>
  <c r="H11" i="70"/>
  <c r="H13" i="70" s="1"/>
  <c r="C4" i="70"/>
  <c r="D9" i="52"/>
  <c r="K9" i="52" s="1"/>
  <c r="E618" i="71"/>
  <c r="K149" i="44"/>
  <c r="H12" i="63"/>
  <c r="H11" i="63" s="1"/>
  <c r="F12" i="63"/>
  <c r="F11" i="63" s="1"/>
  <c r="I10" i="64"/>
  <c r="I9" i="64" s="1"/>
  <c r="K101" i="44"/>
  <c r="O8" i="53"/>
  <c r="G9" i="52"/>
  <c r="N9" i="52" s="1"/>
  <c r="H9" i="52"/>
  <c r="O9" i="52" s="1"/>
  <c r="D8" i="51"/>
  <c r="K8" i="51" s="1"/>
  <c r="E11" i="50"/>
  <c r="E10" i="50" s="1"/>
  <c r="K8" i="50"/>
  <c r="E5" i="70"/>
  <c r="E32" i="70" s="1"/>
  <c r="E34" i="70" s="1"/>
  <c r="G4" i="44"/>
  <c r="E4" i="70" s="1"/>
  <c r="F8" i="64"/>
  <c r="F7" i="64" s="1"/>
  <c r="F6" i="64" s="1"/>
  <c r="M6" i="64" s="1"/>
  <c r="F10" i="64"/>
  <c r="F9" i="64" s="1"/>
  <c r="E486" i="71"/>
  <c r="D8" i="60"/>
  <c r="D11" i="60"/>
  <c r="D10" i="60" s="1"/>
  <c r="E663" i="71"/>
  <c r="E662" i="71" s="1"/>
  <c r="F44" i="70"/>
  <c r="E203" i="44"/>
  <c r="E200" i="44" s="1"/>
  <c r="E202" i="44" s="1"/>
  <c r="D59" i="52"/>
  <c r="D58" i="52" s="1"/>
  <c r="K124" i="44"/>
  <c r="I9" i="52"/>
  <c r="P9" i="52" s="1"/>
  <c r="D11" i="50"/>
  <c r="D10" i="50" s="1"/>
  <c r="H8" i="58"/>
  <c r="H7" i="58" s="1"/>
  <c r="H6" i="58" s="1"/>
  <c r="O6" i="58" s="1"/>
  <c r="I8" i="63"/>
  <c r="I12" i="63"/>
  <c r="I11" i="63" s="1"/>
  <c r="G15" i="70"/>
  <c r="G17" i="70" s="1"/>
  <c r="G45" i="70"/>
  <c r="I131" i="44"/>
  <c r="H17" i="62"/>
  <c r="G129" i="44"/>
  <c r="N8" i="62" s="1"/>
  <c r="E8" i="64"/>
  <c r="E7" i="64" s="1"/>
  <c r="E6" i="64" s="1"/>
  <c r="L6" i="64" s="1"/>
  <c r="E10" i="64"/>
  <c r="E9" i="64" s="1"/>
  <c r="H8" i="64"/>
  <c r="H7" i="64" s="1"/>
  <c r="H6" i="64" s="1"/>
  <c r="O6" i="64" s="1"/>
  <c r="H10" i="64"/>
  <c r="H9" i="64" s="1"/>
  <c r="J8" i="64"/>
  <c r="J7" i="64" s="1"/>
  <c r="J6" i="64" s="1"/>
  <c r="Q6" i="64" s="1"/>
  <c r="J10" i="64"/>
  <c r="J9" i="64" s="1"/>
  <c r="G12" i="63"/>
  <c r="G11" i="63" s="1"/>
  <c r="G8" i="63"/>
  <c r="D8" i="63"/>
  <c r="D12" i="63"/>
  <c r="D11" i="63" s="1"/>
  <c r="F8" i="62"/>
  <c r="F11" i="62"/>
  <c r="F10" i="62" s="1"/>
  <c r="E11" i="60"/>
  <c r="E10" i="60" s="1"/>
  <c r="E8" i="60"/>
  <c r="H11" i="60"/>
  <c r="H10" i="60" s="1"/>
  <c r="H8" i="60"/>
  <c r="E45" i="70"/>
  <c r="E15" i="70"/>
  <c r="E17" i="70" s="1"/>
  <c r="B11" i="70"/>
  <c r="B13" i="70" s="1"/>
  <c r="B44" i="70"/>
  <c r="E391" i="71"/>
  <c r="E393" i="71"/>
  <c r="K46" i="44"/>
  <c r="K44" i="44"/>
  <c r="K25" i="44"/>
  <c r="D7" i="50"/>
  <c r="D6" i="50" s="1"/>
  <c r="K6" i="50" s="1"/>
  <c r="D9" i="70"/>
  <c r="D39" i="70" s="1"/>
  <c r="D41" i="70" s="1"/>
  <c r="K9" i="44"/>
  <c r="I9" i="70" s="1"/>
  <c r="J8" i="58"/>
  <c r="J7" i="58" s="1"/>
  <c r="J6" i="58" s="1"/>
  <c r="Q6" i="58" s="1"/>
  <c r="D11" i="53"/>
  <c r="D10" i="53" s="1"/>
  <c r="D8" i="53"/>
  <c r="D7" i="53" s="1"/>
  <c r="D6" i="53" s="1"/>
  <c r="K6" i="53" s="1"/>
  <c r="H11" i="54"/>
  <c r="H10" i="54" s="1"/>
  <c r="H8" i="54"/>
  <c r="K70" i="44"/>
  <c r="F8" i="59"/>
  <c r="M8" i="59" s="1"/>
  <c r="G11" i="59"/>
  <c r="G10" i="59" s="1"/>
  <c r="G8" i="59"/>
  <c r="D11" i="59"/>
  <c r="D10" i="59" s="1"/>
  <c r="D8" i="59"/>
  <c r="H11" i="59"/>
  <c r="H10" i="59" s="1"/>
  <c r="H8" i="59"/>
  <c r="E626" i="71"/>
  <c r="E625" i="71" s="1"/>
  <c r="E628" i="71"/>
  <c r="E501" i="71"/>
  <c r="E654" i="71"/>
  <c r="E656" i="71"/>
  <c r="E572" i="71"/>
  <c r="G10" i="64"/>
  <c r="G9" i="64" s="1"/>
  <c r="G8" i="64"/>
  <c r="G7" i="64" s="1"/>
  <c r="G6" i="64" s="1"/>
  <c r="N6" i="64" s="1"/>
  <c r="D8" i="54"/>
  <c r="D11" i="54"/>
  <c r="D10" i="54" s="1"/>
  <c r="E8" i="54"/>
  <c r="E11" i="54"/>
  <c r="E10" i="54" s="1"/>
  <c r="I11" i="54"/>
  <c r="I10" i="54" s="1"/>
  <c r="I8" i="54"/>
  <c r="F9" i="52"/>
  <c r="M9" i="52" s="1"/>
  <c r="J9" i="52"/>
  <c r="Q9" i="52" s="1"/>
  <c r="F11" i="52"/>
  <c r="F10" i="52" s="1"/>
  <c r="F8" i="52"/>
  <c r="E27" i="51"/>
  <c r="E26" i="51" s="1"/>
  <c r="E8" i="51"/>
  <c r="I27" i="51"/>
  <c r="I26" i="51" s="1"/>
  <c r="I8" i="51"/>
  <c r="G8" i="52"/>
  <c r="G11" i="52"/>
  <c r="G10" i="52" s="1"/>
  <c r="J11" i="52"/>
  <c r="J10" i="52" s="1"/>
  <c r="J8" i="52"/>
  <c r="O9" i="61"/>
  <c r="H7" i="61"/>
  <c r="H6" i="61" s="1"/>
  <c r="O6" i="61" s="1"/>
  <c r="M8" i="63"/>
  <c r="F7" i="63"/>
  <c r="F6" i="63" s="1"/>
  <c r="M6" i="63" s="1"/>
  <c r="L8" i="63"/>
  <c r="E7" i="63"/>
  <c r="E6" i="63" s="1"/>
  <c r="L6" i="63" s="1"/>
  <c r="J7" i="60"/>
  <c r="J6" i="60" s="1"/>
  <c r="Q6" i="60" s="1"/>
  <c r="Q8" i="60"/>
  <c r="I11" i="50"/>
  <c r="I10" i="50" s="1"/>
  <c r="I8" i="50"/>
  <c r="H12" i="62"/>
  <c r="H19" i="62"/>
  <c r="H18" i="62" s="1"/>
  <c r="G148" i="44"/>
  <c r="K157" i="44"/>
  <c r="K173" i="44"/>
  <c r="I18" i="70" s="1"/>
  <c r="I19" i="70" s="1"/>
  <c r="I21" i="70" s="1"/>
  <c r="B18" i="70"/>
  <c r="B15" i="70"/>
  <c r="B17" i="70" s="1"/>
  <c r="B45" i="70"/>
  <c r="I11" i="61"/>
  <c r="I10" i="61" s="1"/>
  <c r="I9" i="61"/>
  <c r="G11" i="60"/>
  <c r="G10" i="60" s="1"/>
  <c r="G8" i="60"/>
  <c r="E11" i="59"/>
  <c r="E10" i="59" s="1"/>
  <c r="E8" i="59"/>
  <c r="E14" i="58"/>
  <c r="E13" i="58" s="1"/>
  <c r="E8" i="58"/>
  <c r="G8" i="58"/>
  <c r="I59" i="52"/>
  <c r="I58" i="52" s="1"/>
  <c r="H11" i="52"/>
  <c r="H10" i="52" s="1"/>
  <c r="H8" i="52"/>
  <c r="J8" i="50"/>
  <c r="J11" i="50"/>
  <c r="J10" i="50" s="1"/>
  <c r="G11" i="50"/>
  <c r="G10" i="50" s="1"/>
  <c r="G8" i="50"/>
  <c r="J11" i="51"/>
  <c r="J10" i="51" s="1"/>
  <c r="J8" i="51"/>
  <c r="L8" i="53"/>
  <c r="E7" i="53"/>
  <c r="E6" i="53" s="1"/>
  <c r="L6" i="53" s="1"/>
  <c r="G7" i="54"/>
  <c r="G6" i="54" s="1"/>
  <c r="N6" i="54" s="1"/>
  <c r="N8" i="54"/>
  <c r="H7" i="63"/>
  <c r="H6" i="63" s="1"/>
  <c r="O6" i="63" s="1"/>
  <c r="O8" i="63"/>
  <c r="H11" i="50"/>
  <c r="H10" i="50" s="1"/>
  <c r="H59" i="52"/>
  <c r="H58" i="52" s="1"/>
  <c r="F11" i="51"/>
  <c r="F10" i="51" s="1"/>
  <c r="F8" i="51"/>
  <c r="K166" i="44"/>
  <c r="H165" i="44"/>
  <c r="E594" i="71"/>
  <c r="E592" i="71"/>
  <c r="E551" i="71"/>
  <c r="E549" i="71" s="1"/>
  <c r="E552" i="71"/>
  <c r="E222" i="71"/>
  <c r="E157" i="71"/>
  <c r="E561" i="71"/>
  <c r="H8" i="51"/>
  <c r="H11" i="51"/>
  <c r="H10" i="51" s="1"/>
  <c r="G11" i="51"/>
  <c r="G10" i="51" s="1"/>
  <c r="G8" i="51"/>
  <c r="I11" i="52"/>
  <c r="I10" i="52" s="1"/>
  <c r="I8" i="52"/>
  <c r="E59" i="52"/>
  <c r="E58" i="52" s="1"/>
  <c r="E9" i="52"/>
  <c r="I11" i="59"/>
  <c r="I10" i="59" s="1"/>
  <c r="I8" i="59"/>
  <c r="L9" i="62"/>
  <c r="E7" i="62"/>
  <c r="E6" i="62" s="1"/>
  <c r="L6" i="62" s="1"/>
  <c r="I20" i="62"/>
  <c r="D8" i="62"/>
  <c r="K182" i="44"/>
  <c r="I26" i="70" s="1"/>
  <c r="I27" i="70" s="1"/>
  <c r="I29" i="70" s="1"/>
  <c r="B26" i="70"/>
  <c r="C23" i="70"/>
  <c r="C25" i="70" s="1"/>
  <c r="C47" i="70"/>
  <c r="D14" i="58"/>
  <c r="D13" i="58" s="1"/>
  <c r="D8" i="58"/>
  <c r="Q10" i="63"/>
  <c r="J7" i="63"/>
  <c r="J6" i="63" s="1"/>
  <c r="Q6" i="63" s="1"/>
  <c r="E7" i="50"/>
  <c r="E6" i="50" s="1"/>
  <c r="L6" i="50" s="1"/>
  <c r="L8" i="50"/>
  <c r="H7" i="50"/>
  <c r="H6" i="50" s="1"/>
  <c r="O6" i="50" s="1"/>
  <c r="O8" i="50"/>
  <c r="J28" i="62"/>
  <c r="J27" i="62" s="1"/>
  <c r="J26" i="62" s="1"/>
  <c r="I28" i="62"/>
  <c r="I27" i="62" s="1"/>
  <c r="I26" i="62" s="1"/>
  <c r="K134" i="44"/>
  <c r="D8" i="52"/>
  <c r="D11" i="52"/>
  <c r="D10" i="52" s="1"/>
  <c r="C11" i="70"/>
  <c r="C13" i="70" s="1"/>
  <c r="C44" i="70"/>
  <c r="I8" i="58"/>
  <c r="E415" i="71"/>
  <c r="L8" i="71" l="1"/>
  <c r="E12" i="71"/>
  <c r="E14" i="71"/>
  <c r="F8" i="53"/>
  <c r="M8" i="53" s="1"/>
  <c r="F35" i="51"/>
  <c r="F34" i="51" s="1"/>
  <c r="D11" i="70"/>
  <c r="D13" i="70" s="1"/>
  <c r="D35" i="70" s="1"/>
  <c r="D37" i="70" s="1"/>
  <c r="F14" i="58"/>
  <c r="F13" i="58" s="1"/>
  <c r="F8" i="54"/>
  <c r="F7" i="54" s="1"/>
  <c r="F6" i="54" s="1"/>
  <c r="M6" i="54" s="1"/>
  <c r="D11" i="62"/>
  <c r="D10" i="62" s="1"/>
  <c r="C68" i="72"/>
  <c r="C73" i="72" s="1"/>
  <c r="C74" i="72" s="1"/>
  <c r="E11" i="52"/>
  <c r="E10" i="52" s="1"/>
  <c r="G7" i="61"/>
  <c r="G6" i="61" s="1"/>
  <c r="N6" i="61" s="1"/>
  <c r="K27" i="44"/>
  <c r="C116" i="72"/>
  <c r="F11" i="50"/>
  <c r="F10" i="50" s="1"/>
  <c r="C70" i="72"/>
  <c r="C76" i="72" s="1"/>
  <c r="G11" i="62"/>
  <c r="G10" i="62" s="1"/>
  <c r="K81" i="44"/>
  <c r="D203" i="44"/>
  <c r="D200" i="44" s="1"/>
  <c r="D202" i="44" s="1"/>
  <c r="D3" i="44"/>
  <c r="B3" i="70" s="1"/>
  <c r="B43" i="70" s="1"/>
  <c r="K133" i="44"/>
  <c r="Q8" i="53"/>
  <c r="I5" i="44"/>
  <c r="I201" i="44" s="1"/>
  <c r="N9" i="62"/>
  <c r="E390" i="71"/>
  <c r="E498" i="71"/>
  <c r="O8" i="58"/>
  <c r="P8" i="53"/>
  <c r="I7" i="60"/>
  <c r="I6" i="60" s="1"/>
  <c r="P6" i="60" s="1"/>
  <c r="F203" i="44"/>
  <c r="F200" i="44" s="1"/>
  <c r="F210" i="44" s="1"/>
  <c r="F3" i="44"/>
  <c r="D3" i="70" s="1"/>
  <c r="D43" i="70" s="1"/>
  <c r="D42" i="70" s="1"/>
  <c r="F73" i="72"/>
  <c r="F74" i="72" s="1"/>
  <c r="F75" i="72"/>
  <c r="D73" i="72"/>
  <c r="D74" i="72" s="1"/>
  <c r="D75" i="72"/>
  <c r="D7" i="51"/>
  <c r="D6" i="51" s="1"/>
  <c r="K6" i="51" s="1"/>
  <c r="E73" i="72"/>
  <c r="E74" i="72" s="1"/>
  <c r="E75" i="72"/>
  <c r="I25" i="62"/>
  <c r="I23" i="62" s="1"/>
  <c r="I22" i="62" s="1"/>
  <c r="I130" i="44"/>
  <c r="I127" i="44" s="1"/>
  <c r="I128" i="44"/>
  <c r="J131" i="44"/>
  <c r="J5" i="44" s="1"/>
  <c r="E684" i="71"/>
  <c r="Q8" i="54"/>
  <c r="Q8" i="59"/>
  <c r="H4" i="44"/>
  <c r="F4" i="70" s="1"/>
  <c r="L9" i="61"/>
  <c r="F7" i="59"/>
  <c r="F6" i="59" s="1"/>
  <c r="M6" i="59" s="1"/>
  <c r="Q8" i="58"/>
  <c r="F5" i="70"/>
  <c r="F32" i="70" s="1"/>
  <c r="F34" i="70" s="1"/>
  <c r="E199" i="44"/>
  <c r="G3" i="44"/>
  <c r="E3" i="70" s="1"/>
  <c r="E43" i="70" s="1"/>
  <c r="C35" i="70"/>
  <c r="C37" i="70" s="1"/>
  <c r="D7" i="60"/>
  <c r="D6" i="60" s="1"/>
  <c r="K6" i="60" s="1"/>
  <c r="K8" i="60"/>
  <c r="H7" i="60"/>
  <c r="H6" i="60" s="1"/>
  <c r="O6" i="60" s="1"/>
  <c r="O8" i="60"/>
  <c r="E7" i="60"/>
  <c r="E6" i="60" s="1"/>
  <c r="L6" i="60" s="1"/>
  <c r="L8" i="60"/>
  <c r="G7" i="63"/>
  <c r="G6" i="63" s="1"/>
  <c r="N6" i="63" s="1"/>
  <c r="N8" i="63"/>
  <c r="H15" i="62"/>
  <c r="H14" i="62" s="1"/>
  <c r="H13" i="62"/>
  <c r="H9" i="62" s="1"/>
  <c r="O9" i="62" s="1"/>
  <c r="M8" i="62"/>
  <c r="F7" i="62"/>
  <c r="F6" i="62" s="1"/>
  <c r="M6" i="62" s="1"/>
  <c r="D7" i="63"/>
  <c r="D6" i="63" s="1"/>
  <c r="K6" i="63" s="1"/>
  <c r="K8" i="63"/>
  <c r="I17" i="62"/>
  <c r="P8" i="63"/>
  <c r="I7" i="63"/>
  <c r="I6" i="63" s="1"/>
  <c r="P6" i="63" s="1"/>
  <c r="H7" i="54"/>
  <c r="H6" i="54" s="1"/>
  <c r="O6" i="54" s="1"/>
  <c r="O8" i="54"/>
  <c r="K8" i="53"/>
  <c r="O8" i="59"/>
  <c r="H7" i="59"/>
  <c r="H6" i="59" s="1"/>
  <c r="O6" i="59" s="1"/>
  <c r="D7" i="59"/>
  <c r="D6" i="59" s="1"/>
  <c r="K6" i="59" s="1"/>
  <c r="K8" i="59"/>
  <c r="N8" i="59"/>
  <c r="G7" i="59"/>
  <c r="G6" i="59" s="1"/>
  <c r="N6" i="59" s="1"/>
  <c r="D7" i="58"/>
  <c r="D6" i="58" s="1"/>
  <c r="K6" i="58" s="1"/>
  <c r="K8" i="58"/>
  <c r="J25" i="62"/>
  <c r="D7" i="62"/>
  <c r="D6" i="62" s="1"/>
  <c r="K6" i="62" s="1"/>
  <c r="K8" i="62"/>
  <c r="I12" i="62"/>
  <c r="I19" i="62"/>
  <c r="I18" i="62" s="1"/>
  <c r="P8" i="59"/>
  <c r="I7" i="59"/>
  <c r="I6" i="59" s="1"/>
  <c r="P6" i="59" s="1"/>
  <c r="I7" i="52"/>
  <c r="I6" i="52" s="1"/>
  <c r="P6" i="52" s="1"/>
  <c r="P8" i="52"/>
  <c r="G7" i="51"/>
  <c r="G6" i="51" s="1"/>
  <c r="N6" i="51" s="1"/>
  <c r="N8" i="51"/>
  <c r="F14" i="70"/>
  <c r="K165" i="44"/>
  <c r="I14" i="70" s="1"/>
  <c r="I15" i="70" s="1"/>
  <c r="I17" i="70" s="1"/>
  <c r="I7" i="58"/>
  <c r="I6" i="58" s="1"/>
  <c r="P6" i="58" s="1"/>
  <c r="P8" i="58"/>
  <c r="C42" i="70"/>
  <c r="B27" i="70"/>
  <c r="B29" i="70" s="1"/>
  <c r="B48" i="70"/>
  <c r="H6" i="70"/>
  <c r="H35" i="70" s="1"/>
  <c r="H37" i="70" s="1"/>
  <c r="J20" i="62"/>
  <c r="K132" i="44"/>
  <c r="G6" i="70"/>
  <c r="G35" i="70" s="1"/>
  <c r="G37" i="70" s="1"/>
  <c r="H7" i="51"/>
  <c r="H6" i="51" s="1"/>
  <c r="O6" i="51" s="1"/>
  <c r="O8" i="51"/>
  <c r="E156" i="71"/>
  <c r="J7" i="50"/>
  <c r="J6" i="50" s="1"/>
  <c r="Q6" i="50" s="1"/>
  <c r="Q8" i="50"/>
  <c r="G7" i="58"/>
  <c r="G6" i="58" s="1"/>
  <c r="N6" i="58" s="1"/>
  <c r="N8" i="58"/>
  <c r="E10" i="70"/>
  <c r="G203" i="44"/>
  <c r="G200" i="44" s="1"/>
  <c r="D117" i="72" s="1"/>
  <c r="D118" i="72" s="1"/>
  <c r="K148" i="44"/>
  <c r="I10" i="70" s="1"/>
  <c r="I11" i="70" s="1"/>
  <c r="I13" i="70" s="1"/>
  <c r="H8" i="62"/>
  <c r="G7" i="52"/>
  <c r="G6" i="52" s="1"/>
  <c r="N6" i="52" s="1"/>
  <c r="N8" i="52"/>
  <c r="E7" i="54"/>
  <c r="E6" i="54" s="1"/>
  <c r="L6" i="54" s="1"/>
  <c r="L8" i="54"/>
  <c r="D7" i="54"/>
  <c r="D6" i="54" s="1"/>
  <c r="K6" i="54" s="1"/>
  <c r="K8" i="54"/>
  <c r="K8" i="52"/>
  <c r="D7" i="52"/>
  <c r="D6" i="52" s="1"/>
  <c r="K6" i="52" s="1"/>
  <c r="L9" i="52"/>
  <c r="E7" i="52"/>
  <c r="E6" i="52" s="1"/>
  <c r="L6" i="52" s="1"/>
  <c r="E588" i="71"/>
  <c r="E587" i="71" s="1"/>
  <c r="E586" i="71" s="1"/>
  <c r="E591" i="71"/>
  <c r="F7" i="51"/>
  <c r="F6" i="51" s="1"/>
  <c r="M6" i="51" s="1"/>
  <c r="M8" i="51"/>
  <c r="J7" i="51"/>
  <c r="J6" i="51" s="1"/>
  <c r="Q6" i="51" s="1"/>
  <c r="Q8" i="51"/>
  <c r="G7" i="50"/>
  <c r="G6" i="50" s="1"/>
  <c r="N6" i="50" s="1"/>
  <c r="N8" i="50"/>
  <c r="F7" i="50"/>
  <c r="F6" i="50" s="1"/>
  <c r="M6" i="50" s="1"/>
  <c r="M8" i="50"/>
  <c r="H7" i="52"/>
  <c r="H6" i="52" s="1"/>
  <c r="O6" i="52" s="1"/>
  <c r="O8" i="52"/>
  <c r="E7" i="58"/>
  <c r="E6" i="58" s="1"/>
  <c r="L6" i="58" s="1"/>
  <c r="L8" i="58"/>
  <c r="E7" i="59"/>
  <c r="E6" i="59" s="1"/>
  <c r="L6" i="59" s="1"/>
  <c r="L8" i="59"/>
  <c r="G7" i="60"/>
  <c r="G6" i="60" s="1"/>
  <c r="N6" i="60" s="1"/>
  <c r="N8" i="60"/>
  <c r="I7" i="61"/>
  <c r="I6" i="61" s="1"/>
  <c r="P6" i="61" s="1"/>
  <c r="P9" i="61"/>
  <c r="B19" i="70"/>
  <c r="B21" i="70" s="1"/>
  <c r="B46" i="70"/>
  <c r="H129" i="44"/>
  <c r="I7" i="50"/>
  <c r="I6" i="50" s="1"/>
  <c r="P6" i="50" s="1"/>
  <c r="P8" i="50"/>
  <c r="J7" i="52"/>
  <c r="J6" i="52" s="1"/>
  <c r="Q6" i="52" s="1"/>
  <c r="Q8" i="52"/>
  <c r="I7" i="51"/>
  <c r="I6" i="51" s="1"/>
  <c r="P6" i="51" s="1"/>
  <c r="P8" i="51"/>
  <c r="E7" i="51"/>
  <c r="E6" i="51" s="1"/>
  <c r="L6" i="51" s="1"/>
  <c r="L8" i="51"/>
  <c r="F7" i="52"/>
  <c r="F6" i="52" s="1"/>
  <c r="M6" i="52" s="1"/>
  <c r="M8" i="52"/>
  <c r="I7" i="54"/>
  <c r="I6" i="54" s="1"/>
  <c r="P6" i="54" s="1"/>
  <c r="P8" i="54"/>
  <c r="E653" i="71"/>
  <c r="E650" i="71"/>
  <c r="E649" i="71" s="1"/>
  <c r="E648" i="71" s="1"/>
  <c r="E411" i="71"/>
  <c r="F7" i="58"/>
  <c r="F6" i="58" s="1"/>
  <c r="M6" i="58" s="1"/>
  <c r="M8" i="58"/>
  <c r="E9" i="71" l="1"/>
  <c r="E746" i="71" s="1"/>
  <c r="E749" i="71" s="1"/>
  <c r="D199" i="44"/>
  <c r="C75" i="72"/>
  <c r="F7" i="53"/>
  <c r="F6" i="53" s="1"/>
  <c r="M6" i="53" s="1"/>
  <c r="M8" i="54"/>
  <c r="B35" i="70"/>
  <c r="B31" i="70" s="1"/>
  <c r="I4" i="44"/>
  <c r="I3" i="44" s="1"/>
  <c r="G3" i="70" s="1"/>
  <c r="G43" i="70" s="1"/>
  <c r="G42" i="70" s="1"/>
  <c r="K131" i="44"/>
  <c r="J17" i="62"/>
  <c r="J15" i="62" s="1"/>
  <c r="J14" i="62" s="1"/>
  <c r="D31" i="70"/>
  <c r="F746" i="71"/>
  <c r="F749" i="71" s="1"/>
  <c r="F750" i="71" s="1"/>
  <c r="L746" i="71"/>
  <c r="F202" i="44"/>
  <c r="C117" i="72"/>
  <c r="C118" i="72" s="1"/>
  <c r="G5" i="70"/>
  <c r="G32" i="70" s="1"/>
  <c r="G31" i="70" s="1"/>
  <c r="F199" i="44"/>
  <c r="I129" i="44"/>
  <c r="H11" i="62"/>
  <c r="H10" i="62" s="1"/>
  <c r="J130" i="44"/>
  <c r="J127" i="44" s="1"/>
  <c r="J128" i="44"/>
  <c r="K128" i="44" s="1"/>
  <c r="B42" i="70"/>
  <c r="H203" i="44"/>
  <c r="H200" i="44" s="1"/>
  <c r="H3" i="44"/>
  <c r="F3" i="70" s="1"/>
  <c r="F43" i="70" s="1"/>
  <c r="J201" i="44"/>
  <c r="C31" i="70"/>
  <c r="I13" i="62"/>
  <c r="I9" i="62" s="1"/>
  <c r="P9" i="62" s="1"/>
  <c r="I15" i="62"/>
  <c r="I14" i="62" s="1"/>
  <c r="E44" i="70"/>
  <c r="E42" i="70" s="1"/>
  <c r="E11" i="70"/>
  <c r="E13" i="70" s="1"/>
  <c r="E35" i="70" s="1"/>
  <c r="O8" i="62"/>
  <c r="H7" i="62"/>
  <c r="H6" i="62" s="1"/>
  <c r="O6" i="62" s="1"/>
  <c r="G199" i="44"/>
  <c r="G202" i="44"/>
  <c r="K6" i="44"/>
  <c r="I6" i="70" s="1"/>
  <c r="J19" i="62"/>
  <c r="J18" i="62" s="1"/>
  <c r="J12" i="62"/>
  <c r="F15" i="70"/>
  <c r="F17" i="70" s="1"/>
  <c r="F35" i="70" s="1"/>
  <c r="F45" i="70"/>
  <c r="I8" i="62"/>
  <c r="J23" i="62"/>
  <c r="J22" i="62" s="1"/>
  <c r="I203" i="44" l="1"/>
  <c r="I200" i="44" s="1"/>
  <c r="F117" i="72" s="1"/>
  <c r="F118" i="72" s="1"/>
  <c r="E8" i="71"/>
  <c r="B37" i="70"/>
  <c r="J13" i="62"/>
  <c r="J9" i="62" s="1"/>
  <c r="Q9" i="62" s="1"/>
  <c r="G4" i="70"/>
  <c r="L749" i="71"/>
  <c r="L750" i="71" s="1"/>
  <c r="G34" i="70"/>
  <c r="J129" i="44"/>
  <c r="H202" i="44"/>
  <c r="E117" i="72"/>
  <c r="E118" i="72" s="1"/>
  <c r="K130" i="44"/>
  <c r="E750" i="71"/>
  <c r="H5" i="70"/>
  <c r="H32" i="70" s="1"/>
  <c r="H31" i="70" s="1"/>
  <c r="H199" i="44"/>
  <c r="J4" i="44"/>
  <c r="K4" i="44" s="1"/>
  <c r="I4" i="70" s="1"/>
  <c r="F42" i="70"/>
  <c r="K5" i="44"/>
  <c r="I5" i="70" s="1"/>
  <c r="I11" i="62"/>
  <c r="I10" i="62" s="1"/>
  <c r="F37" i="70"/>
  <c r="F31" i="70"/>
  <c r="J8" i="62"/>
  <c r="K129" i="44"/>
  <c r="K127" i="44"/>
  <c r="E37" i="70"/>
  <c r="E31" i="70"/>
  <c r="P8" i="62"/>
  <c r="I7" i="62"/>
  <c r="I6" i="62" s="1"/>
  <c r="P6" i="62" s="1"/>
  <c r="I199" i="44" l="1"/>
  <c r="I202" i="44"/>
  <c r="J11" i="62"/>
  <c r="J10" i="62" s="1"/>
  <c r="H34" i="70"/>
  <c r="J3" i="44"/>
  <c r="H3" i="70" s="1"/>
  <c r="H43" i="70" s="1"/>
  <c r="H42" i="70" s="1"/>
  <c r="H4" i="70"/>
  <c r="J203" i="44"/>
  <c r="J200" i="44" s="1"/>
  <c r="J202" i="44" s="1"/>
  <c r="Q8" i="62"/>
  <c r="J7" i="62"/>
  <c r="J6" i="62" s="1"/>
  <c r="Q6" i="62" s="1"/>
  <c r="K3" i="44" l="1"/>
  <c r="I3" i="70" s="1"/>
  <c r="J199" i="44"/>
</calcChain>
</file>

<file path=xl/sharedStrings.xml><?xml version="1.0" encoding="utf-8"?>
<sst xmlns="http://schemas.openxmlformats.org/spreadsheetml/2006/main" count="3038" uniqueCount="886">
  <si>
    <t>Статус</t>
  </si>
  <si>
    <t xml:space="preserve">всего </t>
  </si>
  <si>
    <t>Социальная поддержка граждан Ивановской области</t>
  </si>
  <si>
    <t>Совершенствование институтов государственного управления и местного самоуправления Ивановской области</t>
  </si>
  <si>
    <t>Подпрограмма</t>
  </si>
  <si>
    <t>Разработка проектно-сметной документации на капитальный ремонт областных учреждений здравоохранения</t>
  </si>
  <si>
    <t>Капитальный ремонт областных учреждений здравоохранения</t>
  </si>
  <si>
    <t>Приобретение оборудования областными учреждениями здравоохранения</t>
  </si>
  <si>
    <t>Обеспечение безопасности граждан и профилактика правонарушений в Ивановской области</t>
  </si>
  <si>
    <t>Наказы избирателей</t>
  </si>
  <si>
    <t xml:space="preserve">Приобретение автомобилей скорой медицинской помощи </t>
  </si>
  <si>
    <t xml:space="preserve">Приобретение санитарного автотранспорта </t>
  </si>
  <si>
    <t>бюджетные</t>
  </si>
  <si>
    <t>казенные</t>
  </si>
  <si>
    <t>СПО</t>
  </si>
  <si>
    <t>Поэтапное повышение заработной платы, в т.ч.</t>
  </si>
  <si>
    <t>0901</t>
  </si>
  <si>
    <t>0902</t>
  </si>
  <si>
    <t>0904</t>
  </si>
  <si>
    <t>Итого бюджетные ассигнования</t>
  </si>
  <si>
    <t>Государственные программы, всего</t>
  </si>
  <si>
    <t>Обеспечение лекарствами</t>
  </si>
  <si>
    <t>Непрограммые мероприятия, в том числе:</t>
  </si>
  <si>
    <t xml:space="preserve">Подготовка населения и организаций к действиям в чрезвычайной ситуации в мирное и военное время
</t>
  </si>
  <si>
    <t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</si>
  <si>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</si>
  <si>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Адаптация областных учреждений здравоохранения к обслуживанию инвалидов и других маломобильных групп населения
</t>
  </si>
  <si>
    <t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t>
  </si>
  <si>
    <t xml:space="preserve">Обеспечение функций центральных исполнительных органов государственной власти Ивановской области
</t>
  </si>
  <si>
    <t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t>
  </si>
  <si>
    <t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t>
  </si>
  <si>
    <t xml:space="preserve">Обеспечение полноценным питанием детей в возрасте до трех лет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</si>
  <si>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 </t>
  </si>
  <si>
    <t>Итого бюджетные ассигнования (до изменений)</t>
  </si>
  <si>
    <t>Изменения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</si>
  <si>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</si>
  <si>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t>
  </si>
  <si>
    <t>«Кадровое обеспечение системы здравоохранения»</t>
  </si>
  <si>
    <t>«Охрана здоровья матери и ребенка»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</si>
  <si>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t>
  </si>
  <si>
    <t>Оказание первичной медико-санитарной помощи в амбулаторных условиях</t>
  </si>
  <si>
    <t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t>
  </si>
  <si>
    <t>Реализация отдельных полномочий в области лекарственного обеспечения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</si>
  <si>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</si>
  <si>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Оказание специализированной медицинской помощи в стационарных условиях</t>
  </si>
  <si>
    <t>Оказание специализированной медицинской помощи в условиях дневного стационара</t>
  </si>
  <si>
    <t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t>
  </si>
  <si>
    <t xml:space="preserve">Реализация отдельных мероприятий государственной программы Российской Федерации  «Развитие здравоохранения»
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</si>
  <si>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</si>
  <si>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Реализация мероприятий по профилактике ВИЧ-инфекции и гепатитов B и C</t>
  </si>
  <si>
    <t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t>
  </si>
  <si>
    <t>Обеспечение доноров, безвозмездно сдавших кровь и (или) ее компоненты, бесплатным питанием</t>
  </si>
  <si>
    <t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t>
  </si>
  <si>
    <t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t>
  </si>
  <si>
    <t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t>
  </si>
  <si>
    <t>Проведение судебно-медицинской экспертизы</t>
  </si>
  <si>
    <t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t>
  </si>
  <si>
    <t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t>
  </si>
  <si>
    <t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t>
  </si>
  <si>
    <t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t>
  </si>
  <si>
    <t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t>
  </si>
  <si>
    <t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t>
  </si>
  <si>
    <t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t>
  </si>
  <si>
    <t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</si>
  <si>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t>
  </si>
  <si>
    <t>Государственная программа Ивановской области</t>
  </si>
  <si>
    <t>Основное мероприятие</t>
  </si>
  <si>
    <t>«Модернизация системы здравоохранения Ивановской области»</t>
  </si>
  <si>
    <t>«Укрепление материально-технической базы областных учреждений здравоохранения»</t>
  </si>
  <si>
    <t>«Профилактика заболеваний и формирование здорового образа жизни. Развитие первичной медико-санитарной помощи»</t>
  </si>
  <si>
    <t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t>
  </si>
  <si>
    <t>«Оказание первичной медико-санитарной помощи»</t>
  </si>
  <si>
    <t>«Профилактика инфекционных заболеваний, включая имунопрофилактику»</t>
  </si>
  <si>
    <t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t>
  </si>
  <si>
    <t>«Совершенствование оказания специализированной, включая высокотехнологичную, медицинской помощи»</t>
  </si>
  <si>
    <t>«Специализированная медицинская помощь»</t>
  </si>
  <si>
    <t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t>
  </si>
  <si>
    <t>«Паллиативная медицинская помощь»</t>
  </si>
  <si>
    <t>«Оказание паллиативной помощи»</t>
  </si>
  <si>
    <t xml:space="preserve">«Заготовка, хранение, транспортировка и обеспечение безопасности донорской крови и (или) ее компонентов» </t>
  </si>
  <si>
    <t>Осуществление заготовки, хранения, транспортировки и обеспечения безопасности донорской крови и (или) ее компонентов</t>
  </si>
  <si>
    <t>«Другие вопросы в сфере здравоохранения»</t>
  </si>
  <si>
    <t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t>
  </si>
  <si>
    <t>«Выполнение мероприятий, направленных на спасение жизни людей и защиту их здоровья при чрезвычайных ситуациях»</t>
  </si>
  <si>
    <t xml:space="preserve"> «Формирование и сопровождение единой информационно-аналитической системы здравоохранения Ивановской области»</t>
  </si>
  <si>
    <t xml:space="preserve">«Судебно-медицинская экспертиза» </t>
  </si>
  <si>
    <t>«Меры социальной поддержки отдельных групп населения при оказании медицинской помощи»</t>
  </si>
  <si>
    <t>«Меры социальной поддержки по обеспечению отдельных групп населения лекарственными препаратами и изделиями медицинского назначения»</t>
  </si>
  <si>
    <t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t>
  </si>
  <si>
    <t>«Организация обязательного медицинского страхования на территории Ивановской области»</t>
  </si>
  <si>
    <t>Основно мероприятие</t>
  </si>
  <si>
    <t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t>
  </si>
  <si>
    <t>«Осуществление полномочий Российской Федерации в сфере охраны здоровья»</t>
  </si>
  <si>
    <t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t>
  </si>
  <si>
    <t>«Создание системы раннего выявления и коррекции нарушений развития ребенка»</t>
  </si>
  <si>
    <t xml:space="preserve"> «Меры социальной поддержки в сфере здравоохранения»</t>
  </si>
  <si>
    <t>«Единовременные компенсационные выплаты медицинским работникам»</t>
  </si>
  <si>
    <t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t>
  </si>
  <si>
    <t>Оказание медицинской помощи лицам, инфицированным вирусом иммунодефицита человека, гепатитами В и С</t>
  </si>
  <si>
    <t>Код целевой статьи расходов</t>
  </si>
  <si>
    <t>01 1 01 00020</t>
  </si>
  <si>
    <t>01 1 01 00030</t>
  </si>
  <si>
    <t>01 1 01 00040</t>
  </si>
  <si>
    <t>01 1 01 00050</t>
  </si>
  <si>
    <t>01 1 01 00060</t>
  </si>
  <si>
    <t>01 1 01 01870</t>
  </si>
  <si>
    <t>01 2 01 00010</t>
  </si>
  <si>
    <t>01 2 01 00070</t>
  </si>
  <si>
    <t>01 2 02 20020</t>
  </si>
  <si>
    <t>01 2 03 51330</t>
  </si>
  <si>
    <t>01 2 03 51610</t>
  </si>
  <si>
    <t>01 2 03 54600</t>
  </si>
  <si>
    <t>01 3 01 00010</t>
  </si>
  <si>
    <t>01 3 01 00080</t>
  </si>
  <si>
    <t>01 3 01 00090</t>
  </si>
  <si>
    <t>01 3 01 51740</t>
  </si>
  <si>
    <t>01 3 02 53820</t>
  </si>
  <si>
    <t>01 3 03 00010</t>
  </si>
  <si>
    <t>01 3 03 00110</t>
  </si>
  <si>
    <t>01 3 03 50720</t>
  </si>
  <si>
    <t>01 3 03 51790</t>
  </si>
  <si>
    <t>01 4 01 80010</t>
  </si>
  <si>
    <t>01 5 01 00010</t>
  </si>
  <si>
    <t>01 5 01 00130</t>
  </si>
  <si>
    <t>01 5 01 71010</t>
  </si>
  <si>
    <t>01 6 01 00010</t>
  </si>
  <si>
    <t>01 6 01 00120</t>
  </si>
  <si>
    <t>01 6 02 00180</t>
  </si>
  <si>
    <t>01 6 03 0190</t>
  </si>
  <si>
    <t>01 6 04 00200</t>
  </si>
  <si>
    <t>01 6 05 00010</t>
  </si>
  <si>
    <t>01 6 05 01970</t>
  </si>
  <si>
    <t>01 7 01 71020</t>
  </si>
  <si>
    <t>01 7 01 70830</t>
  </si>
  <si>
    <t>01 7 01 70890</t>
  </si>
  <si>
    <t>01 7 02 70020</t>
  </si>
  <si>
    <t>01 7 02 70030</t>
  </si>
  <si>
    <t>01 7 02 70040</t>
  </si>
  <si>
    <t>01 7 02 70050</t>
  </si>
  <si>
    <t>01 7 03 70010</t>
  </si>
  <si>
    <t>01 8 01 80040</t>
  </si>
  <si>
    <t>01 9 01 59800</t>
  </si>
  <si>
    <t>01 А 01 81900</t>
  </si>
  <si>
    <t>01 А 01 81910</t>
  </si>
  <si>
    <t>01 Б 01 70920</t>
  </si>
  <si>
    <t xml:space="preserve">«Развитие образования Ивановской области» </t>
  </si>
  <si>
    <t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</si>
  <si>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</si>
  <si>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Дополнительное профессиональное образование</t>
  </si>
  <si>
    <t>Финансовое обеспечение предоставления мер социальной поддержки в сфере образования</t>
  </si>
  <si>
    <t>07 1 01 01240</t>
  </si>
  <si>
    <t>18 1 02 01450</t>
  </si>
  <si>
    <t>03 6 04 00780</t>
  </si>
  <si>
    <t>03 6 04 00810</t>
  </si>
  <si>
    <t>03 4 01 70490</t>
  </si>
  <si>
    <t>02 5 01 70090</t>
  </si>
  <si>
    <t>02 5 01 70080</t>
  </si>
  <si>
    <t>02 3 04 01660</t>
  </si>
  <si>
    <t>02 2 01 70780</t>
  </si>
  <si>
    <t>02 2 01 00010</t>
  </si>
  <si>
    <t>Наименование государственной программы, подпрограммы, основного мероприятия</t>
  </si>
  <si>
    <t>Федеральный бюджет</t>
  </si>
  <si>
    <t>Областной бюджет</t>
  </si>
  <si>
    <t>«Развитие здравоохранения Ивановской области» 
всего, в том числе:</t>
  </si>
  <si>
    <t xml:space="preserve">    </t>
  </si>
  <si>
    <t>Предоставление жилых помещений в общежитиях</t>
  </si>
  <si>
    <t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t>
  </si>
  <si>
    <t>02 2 01 02450</t>
  </si>
  <si>
    <t>02 5 01 70970</t>
  </si>
  <si>
    <t xml:space="preserve">Приложение 1 к государственной программе «Развитие здравоохранения Ивановской области»
</t>
  </si>
  <si>
    <t xml:space="preserve">Подпрограмма «Модернизация системы здравоохранения Ивановской области»
</t>
  </si>
  <si>
    <t>Ресурсное обеспечение мероприятий подпрограммы</t>
  </si>
  <si>
    <t>(руб.)</t>
  </si>
  <si>
    <t>N п/п</t>
  </si>
  <si>
    <t>Наименование мероприятия / Источник ресурсного обеспечения</t>
  </si>
  <si>
    <t>Исполнитель</t>
  </si>
  <si>
    <t>бюджетные ассигнования:</t>
  </si>
  <si>
    <t>- областной бюджет</t>
  </si>
  <si>
    <t>- федеральный бюджет</t>
  </si>
  <si>
    <t>внебюджетное финансирование:</t>
  </si>
  <si>
    <t>Департамент здравоохранения Ивановской области</t>
  </si>
  <si>
    <t xml:space="preserve">Приложение 2 к государственной программе «Развитие здравоохранения Ивановской области»
</t>
  </si>
  <si>
    <t xml:space="preserve">Подпрограмма «Профилактика заболеваний и формирование здорового образа жизни. Развитие первичной медико-санитарной помощи»
</t>
  </si>
  <si>
    <t xml:space="preserve">Приложение 3 к государственной программе «Развитие здравоохранения Ивановской области»
</t>
  </si>
  <si>
    <t xml:space="preserve">Подпрограмма «Совершенствование оказания специализированной, включая высокотехнологичную, медицинской помощи»
</t>
  </si>
  <si>
    <t xml:space="preserve">Приложение 4 к государственной программе «Развитие здравоохранения Ивановской области»
</t>
  </si>
  <si>
    <t xml:space="preserve">Подпрограмма «Паллиативная медицинская помощь»
</t>
  </si>
  <si>
    <t xml:space="preserve">Приложение 5 к государственной программе «Развитие здравоохранения Ивановской области»
</t>
  </si>
  <si>
    <t xml:space="preserve">Подпрограмма «Заготовка, хранение, транспортировка и обеспечение безопасности донорской крови и (или) ее компонентов» </t>
  </si>
  <si>
    <t xml:space="preserve">Приложение 6 к государственной программе «Развитие здравоохранения Ивановской области»
</t>
  </si>
  <si>
    <t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t>
  </si>
  <si>
    <t>Мероприятия по развитию службы крови</t>
  </si>
  <si>
    <t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t>
  </si>
  <si>
    <t>Текущий ремонт объектов благоустройства внутреннего двора корпуса для ветеранов войн ОБУЗ "Ивановский областной госпиталь для ветеранов войн"</t>
  </si>
  <si>
    <t>Ремонт патологоанатомического отделения областного бюджетного учреждения здравоохранения "Ивановская областная клиническая больница"</t>
  </si>
  <si>
    <t>Пристройка шахты лифта к хирургическому корпусу ОБУЗ «Кинешемская центральная районная больница»</t>
  </si>
  <si>
    <t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t>
  </si>
  <si>
    <t xml:space="preserve">Предоставление санаторно-курортной помощи детям
</t>
  </si>
  <si>
    <t>«Оказание санаторно-оздоровительной помощи»</t>
  </si>
  <si>
    <t>Оказание высокотехнолгичной медицинской помощи</t>
  </si>
  <si>
    <t>Оказание скорой медицинской помощи</t>
  </si>
  <si>
    <t xml:space="preserve">Оплата лечения при оказании высокотехнологичной медицинской помощи в федеральных учреждениях здравоохранения
</t>
  </si>
  <si>
    <t xml:space="preserve">Мероприятия по оказанию высокотехнологичных видов медицинской помощи
</t>
  </si>
  <si>
    <t xml:space="preserve">«Обеспечение лекарственными препаратами во исполнение судебных актов» </t>
  </si>
  <si>
    <t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t>
  </si>
  <si>
    <t>Улучшение лекарственного обеспечения граждан</t>
  </si>
  <si>
    <t>«Обеспечение бесперебойного и своевременного оказания скорой медицинской помощи на территории Ивановской области»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</si>
  <si>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t>
  </si>
  <si>
    <t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t>
  </si>
  <si>
    <t xml:space="preserve"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
</t>
  </si>
  <si>
    <t xml:space="preserve">Осуществление единовременных выплат медицинским работникам
</t>
  </si>
  <si>
    <t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t>
  </si>
  <si>
    <t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t>
  </si>
  <si>
    <t xml:space="preserve">Финансовое обеспечение мероприятий, направленных на проведение пренатальной (дородовой) диагностики нарушений развития ребенка
</t>
  </si>
  <si>
    <t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t>
  </si>
  <si>
    <t xml:space="preserve">Организация профессионального образования и дополнительного профессионального образования лиц, замещающих государственные должности Ивановской области, дополнительного профессионального образования государственных гражданских служащих Ивановской области
</t>
  </si>
  <si>
    <t>Долгосрочная сбалансированность и устойчисвость бюджетной системы Ивановской области</t>
  </si>
  <si>
    <t xml:space="preserve">Резервный фонд Правительства Ивановской области
</t>
  </si>
  <si>
    <t>Закупка аллергена туберкулезного очищенного в стандартном разведении для проведения туберкулинодианостики</t>
  </si>
  <si>
    <t>02 2 02 38930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</si>
  <si>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</si>
  <si>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 xml:space="preserve">Проведение патологоанатомических вскрытий </t>
  </si>
  <si>
    <t>01 3 01 02500</t>
  </si>
  <si>
    <t>Наименование мероприятия/Источник ресурсного обеспечения</t>
  </si>
  <si>
    <t>Подпрограмма, всего:</t>
  </si>
  <si>
    <t>бюджетные ассигнования</t>
  </si>
  <si>
    <t>- от физических и юридических лиц</t>
  </si>
  <si>
    <t>-</t>
  </si>
  <si>
    <t>1.</t>
  </si>
  <si>
    <t>2.</t>
  </si>
  <si>
    <t>- бюджет территориального фонда обязательного медицинского страхования</t>
  </si>
  <si>
    <t>3.</t>
  </si>
  <si>
    <t>4.</t>
  </si>
  <si>
    <t>5.</t>
  </si>
  <si>
    <t>1.1.</t>
  </si>
  <si>
    <t>1.2.</t>
  </si>
  <si>
    <t>2.1.</t>
  </si>
  <si>
    <t>2.2.</t>
  </si>
  <si>
    <t>3.1.</t>
  </si>
  <si>
    <t>3.2.</t>
  </si>
  <si>
    <t>3.3.</t>
  </si>
  <si>
    <t>3.4.</t>
  </si>
  <si>
    <t>4.1.</t>
  </si>
  <si>
    <t>4.2.</t>
  </si>
  <si>
    <t>5.1.</t>
  </si>
  <si>
    <t>№ п/п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</si>
  <si>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</si>
  <si>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</si>
  <si>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</si>
  <si>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</si>
  <si>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</si>
  <si>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</si>
  <si>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</si>
  <si>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</si>
  <si>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</si>
  <si>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 Департамент здравоохранения Ивановской области</t>
  </si>
  <si>
    <t>6.</t>
  </si>
  <si>
    <t>6.1.</t>
  </si>
  <si>
    <t>6.2.</t>
  </si>
  <si>
    <t xml:space="preserve">Подпрограмма «Другие вопросы в сфере здравоохранения» </t>
  </si>
  <si>
    <t>2.3.</t>
  </si>
  <si>
    <t>2.4.</t>
  </si>
  <si>
    <t xml:space="preserve">Подпрограмма «Меры социальной поддержки в сфере здравоохранения» </t>
  </si>
  <si>
    <t xml:space="preserve">Приложение 7 к государственной программе «Развитие здравоохранения Ивановской области»
</t>
  </si>
  <si>
    <t xml:space="preserve">Приложение 8 к государственной программе «Развитие здравоохранения Ивановской области»
</t>
  </si>
  <si>
    <t xml:space="preserve">Подпрограмма «Организация обязательного медицинского страхования на территории Ивановской области» </t>
  </si>
  <si>
    <t>Наименование мероприятия/источник ресурсного обеспечения</t>
  </si>
  <si>
    <t xml:space="preserve">Приложение 9 к государственной программе «Развитие здравоохранения Ивановской области»
</t>
  </si>
  <si>
    <t xml:space="preserve">Подпрограмма «Осуществление полномочий Российской Федерации в сфере охраны здоровья» </t>
  </si>
  <si>
    <t xml:space="preserve">Подпрограмма «Охрана здоровья матери и ребенка» </t>
  </si>
  <si>
    <t xml:space="preserve">Приложение 10 к государственной программе «Развитие здравоохранения Ивановской области»
</t>
  </si>
  <si>
    <t xml:space="preserve">Подпрограмма «Кадровое обеспечение системы здравоохранения» </t>
  </si>
  <si>
    <t>- бюджеты государственных внебюджетных фондов</t>
  </si>
  <si>
    <t>Единовременные компенсационные выплаты медицинским работникам</t>
  </si>
  <si>
    <t>Единовременные компенсационные выплаты медицинским работникам в возрасте до 35 лет, прибывшим после окончания образовательного учреждения высшего профессионального образования на работу в сельский населенный пункт либо рабочий поселок или переехавшим на работу в сельский населенный пункт либо рабочий поселок из другого населенного пункта</t>
  </si>
  <si>
    <t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пункт либо рабочий поселок Ивановской области из другого населенного пункта</t>
  </si>
  <si>
    <t>Осуществление единовременных выплат медицинским работникам</t>
  </si>
  <si>
    <t xml:space="preserve">Приложение 11 к государственной программе «Развитие здравоохранения Ивановской области»
</t>
  </si>
  <si>
    <t>«Организация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ОМС»</t>
  </si>
  <si>
    <t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t>
  </si>
  <si>
    <t>бюджет территориального фонда обязательного медицинского страхования Ивановской области</t>
  </si>
  <si>
    <t>от физических и юридических лиц</t>
  </si>
  <si>
    <t>федеральный бюджет</t>
  </si>
  <si>
    <t>областной бюджет</t>
  </si>
  <si>
    <t>бюджеты государственных внебюджетных фондов</t>
  </si>
  <si>
    <t>Наименование мероприятия /</t>
  </si>
  <si>
    <t>территориальный фонд обязательного медицинского страхования Ивановской области</t>
  </si>
  <si>
    <t xml:space="preserve">Приложение 12 к государственной программе «Развитие здравоохранения Ивановской области»
</t>
  </si>
  <si>
    <t>Срок</t>
  </si>
  <si>
    <t>Обеспечение функций центральных исполнительных органов государственной власти Ивановской области</t>
  </si>
  <si>
    <t xml:space="preserve">Подпрограмма «Обеспечение деятельности органов государственной власти Ивановской области» </t>
  </si>
  <si>
    <t xml:space="preserve">Приложение 1 к государственной программе Ивановской области «Совершенствование институтов государственного управления и местного самоуправления Ивановской области»
</t>
  </si>
  <si>
    <t>2014-2020</t>
  </si>
  <si>
    <t>Наименование мероприятия</t>
  </si>
  <si>
    <t>10.</t>
  </si>
  <si>
    <t>Обеспечение полноценным питанием детей в возрасте до трех лет</t>
  </si>
  <si>
    <t>бюджетные ассигнования, в том числе:</t>
  </si>
  <si>
    <t xml:space="preserve">Подпрограмма «Предоставление пособий и компенсаций, связанных с материнством и детством» </t>
  </si>
  <si>
    <t xml:space="preserve">внебюджетное финансирование
</t>
  </si>
  <si>
    <t xml:space="preserve">Приложение 12 к Программе
</t>
  </si>
  <si>
    <t xml:space="preserve">Приложение 18 к Программе
</t>
  </si>
  <si>
    <t xml:space="preserve">Подпрограмма «Формирование доступной среды жизнедеятельности для инвалидов и других маломобильных групп населения в Ивановской области» 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</si>
  <si>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</si>
  <si>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 xml:space="preserve">Ресурсное обеспечение реализации мероприятий Подпрограммы
</t>
  </si>
  <si>
    <t xml:space="preserve">Приложение 1 к государственной программе Ивановской области «Обеспечение безопасности граждан и профилактика правонарушений в Ивановской области»
</t>
  </si>
  <si>
    <t xml:space="preserve">Подпрограмма «Гражданская защита населения» </t>
  </si>
  <si>
    <t>5.2.</t>
  </si>
  <si>
    <t xml:space="preserve">Объем бюджетных ассигнований на выполнение мероприятий подпрограммы, руб.
</t>
  </si>
  <si>
    <t xml:space="preserve">Подпрограмма «Реализация основных профессиональных образовательных программ среднего профессионального образования» </t>
  </si>
  <si>
    <t xml:space="preserve">Приложение 6 к государственной программе Ивановской области «Развитие образования Ивановской области»
</t>
  </si>
  <si>
    <t xml:space="preserve">Приложение 12 к государственной программе Ивановской области «Развитие образования Ивановской области»
</t>
  </si>
  <si>
    <t xml:space="preserve">Подпрограмма «Дополнительное профессиональное образование» </t>
  </si>
  <si>
    <t xml:space="preserve">Приложение 14 к государственной программе Ивановской области «Развитие образования Ивановской области»
</t>
  </si>
  <si>
    <t xml:space="preserve">Подпрограмма «Финансовое обеспечение предоставления мер социальной поддержки в сфере образования» </t>
  </si>
  <si>
    <t>01 2 01 21710</t>
  </si>
  <si>
    <t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</si>
  <si>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</si>
  <si>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 xml:space="preserve">Дополнительное финансовое обеспечение организации обязательного медицинского страхования на территории Ивановской области </t>
  </si>
  <si>
    <t>Исполнение предписания (Финнадзор)</t>
  </si>
  <si>
    <t>платеж на неработающее население</t>
  </si>
  <si>
    <t>ИТОГО бюджет ТФОМС (в части ГП здравоохранение без платежа)</t>
  </si>
  <si>
    <t>ИТОГО бюджет ТФОМС (в части ГП здравоохранение)</t>
  </si>
  <si>
    <t>ИТОГО бюджетные ассигнования ДЗО</t>
  </si>
  <si>
    <t>Областной бюджет (непрограммные мероприятия)</t>
  </si>
  <si>
    <t>образование ДЗО</t>
  </si>
  <si>
    <t>социальная поддержка ДЗО</t>
  </si>
  <si>
    <t>безопасность ДЗО</t>
  </si>
  <si>
    <t>управление ДЗО</t>
  </si>
  <si>
    <t>устойчивость бюджетной системы ДЗО</t>
  </si>
  <si>
    <t xml:space="preserve">Государственные программы, всего </t>
  </si>
  <si>
    <t>«Совершенствование оказания медицинской помощи лицам, инфицированным вирусом иммунодефицита человека, гепатитами В и С»</t>
  </si>
  <si>
    <t>Компенсация расходов на граждан Украины</t>
  </si>
  <si>
    <t>Федеральный бюджет (непрограммные мероприятия (компенсация расходов на граждан Украины))</t>
  </si>
  <si>
    <t xml:space="preserve">Приложение </t>
  </si>
  <si>
    <t>Наименование Программы</t>
  </si>
  <si>
    <t>Администратор Программы</t>
  </si>
  <si>
    <t xml:space="preserve">Наименование Программы, подпрограммы, основного мероприятия, мероприятия </t>
  </si>
  <si>
    <t>Источник финансирования</t>
  </si>
  <si>
    <t>Объем ресурсного обеспечения, утвержденный Программой</t>
  </si>
  <si>
    <t>Объем кассовых расходов на отчетную дату</t>
  </si>
  <si>
    <t>Краткое описание текущего состояния процесса реализации основного мероприятия, мероприятия</t>
  </si>
  <si>
    <t xml:space="preserve">Наименование целевого индикатора (показателя) </t>
  </si>
  <si>
    <t>Единица измерения</t>
  </si>
  <si>
    <t>План</t>
  </si>
  <si>
    <t>Факт</t>
  </si>
  <si>
    <t>Справочно
Объем бюджетных ассигнований, утвержденных Законом о бюджете</t>
  </si>
  <si>
    <t>«Развитие здравоохранения Ивановской области»</t>
  </si>
  <si>
    <t>Программа , ВСЕГО</t>
  </si>
  <si>
    <t>Территориальный фонд обязательного медициского страхования Ивановской области</t>
  </si>
  <si>
    <t>внебюджетное финансирование</t>
  </si>
  <si>
    <t>территориальный фонд ОМС</t>
  </si>
  <si>
    <t>%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</si>
  <si>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 в 2012 - 2018 годах (агрегированные значения)</t>
  </si>
  <si>
    <t>процентов</t>
  </si>
  <si>
    <t xml:space="preserve"> Удовлетворенность потребителей в оказанной государственной услуге
</t>
  </si>
  <si>
    <t>условных единиц</t>
  </si>
  <si>
    <t>доз</t>
  </si>
  <si>
    <t>человек</t>
  </si>
  <si>
    <t>Удовлетворенность потребителей в оказанной государственной услуге</t>
  </si>
  <si>
    <t>единиц</t>
  </si>
  <si>
    <t>койко-дней</t>
  </si>
  <si>
    <t>посещений</t>
  </si>
  <si>
    <t>Соответствие техническому регламенту о безопасности крови, ее продуктов, кровезамещающих растворов и технических средств, используемых в трансфузионно-инфузионной терапии</t>
  </si>
  <si>
    <t>Условная единица продукта переработки (в перерасчете на 1 литр цельной крови)</t>
  </si>
  <si>
    <t>Число доноров крови и ее компонентов</t>
  </si>
  <si>
    <t xml:space="preserve">на 1000 человек населения
</t>
  </si>
  <si>
    <t>Количество койко-дней</t>
  </si>
  <si>
    <t>Отчет</t>
  </si>
  <si>
    <t>Пригодность к длительному хранению</t>
  </si>
  <si>
    <t>Количественная и качественная сохранность материалов, принятых на ответственное хранение</t>
  </si>
  <si>
    <t>Численность неработающих лиц, застрахованных в системе обязательного медицинского страхования (по состоянию на 1 апреля предшествующего года)</t>
  </si>
  <si>
    <t>шт.</t>
  </si>
  <si>
    <t xml:space="preserve">Доля беременных женщин, которым проведена пренатальная (дородовая) диагностика в первом триместре беременности, в общем числе беременных, вставших на учет в учреждении здравоохранения в первом триместре беременности
</t>
  </si>
  <si>
    <t xml:space="preserve">Объем оказания амбулаторной помощи за счет средств ОМС:
</t>
  </si>
  <si>
    <t>«Развитие образования Ивановской области»</t>
  </si>
  <si>
    <t xml:space="preserve">Программа, ВСЕГО </t>
  </si>
  <si>
    <t>Бюджетные ассигнования</t>
  </si>
  <si>
    <t xml:space="preserve">Отношение средней заработной платы преподавателей и мастеров производственного обучения государственных профессиональных образовательных организаций к средней заработной плате в Ивановской области
</t>
  </si>
  <si>
    <t xml:space="preserve">Развитие профессионального образования
</t>
  </si>
  <si>
    <t xml:space="preserve">«Реализация программ среднего профессионального образования и основных программ профессионального обучения» </t>
  </si>
  <si>
    <t xml:space="preserve">Реализация основных профессиональных образовательных программ среднего профессионального образования - программ подготовки специалистов среднего звена
</t>
  </si>
  <si>
    <t xml:space="preserve">Среднегодовое число студентов областных государственных профессиональных образовательных организаций в рамках оказания государственной услуги Ивановской области
</t>
  </si>
  <si>
    <t xml:space="preserve">Предоставление стипендии студентам, обучающимся в областных государственных профессиональных образовательных организациях
</t>
  </si>
  <si>
    <t xml:space="preserve">Среднегодовое число студентов областных государственных профессиональных образовательных организаций, обучающихся по очной форме обучения за счет средств областного бюджета
</t>
  </si>
  <si>
    <t xml:space="preserve">Предоставление жилых помещений в общежитиях
</t>
  </si>
  <si>
    <t xml:space="preserve">Среднегодовое число студентов областных государственных профессиональных образовательных организаций, проживающих в общежитии
</t>
  </si>
  <si>
    <t xml:space="preserve">Развитие дополнительного образования
и реализация государственной молодежной политики
</t>
  </si>
  <si>
    <t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t>
  </si>
  <si>
    <t>Число медицинских работников, получивших дополнительное профессиональное образование по программам повышения квалификации в рамках оказания государственной услуги Ивановской области</t>
  </si>
  <si>
    <t>Среднегодовое число медицинских работников, получивших дополнительное профессиональное образование по программам переподготовки в рамках оказания государственной услуги Ивановской области</t>
  </si>
  <si>
    <t xml:space="preserve">Финансовое обеспечение предоставления мер социальной поддержки в сфере образования
</t>
  </si>
  <si>
    <t xml:space="preserve">Социальная поддержка в сфере образования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</si>
  <si>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</si>
  <si>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Количество выпускников государственных профессиональных образовательных организаций - детей-сирот и детей, оставшихся без попечения родителей, в том числе количество выпускников областных государственных профессиональных образовательных организаций
</t>
  </si>
  <si>
    <t xml:space="preserve"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
</t>
  </si>
  <si>
    <t>Среднегодовое число студентов государственных профессиональных образовательных организаций, находящихся на полном государственном обеспечении</t>
  </si>
  <si>
    <t xml:space="preserve">«Социальная поддержка граждан в Ивановской области»
</t>
  </si>
  <si>
    <t>Реализация государственной политики в интересах семьи и детей</t>
  </si>
  <si>
    <t xml:space="preserve">Предоставление мер государственной поддержки в связи с беременностью и родами, а также детям и семьям, имеющим детей
</t>
  </si>
  <si>
    <t xml:space="preserve">Доля детей в возрасте до трех лет, обеспеченных полноценным питанием, от общего количества детей в возрасте до трех лет, имеющих право на меру социальной поддержки
</t>
  </si>
  <si>
    <t xml:space="preserve">Формирование доступной среды жизнедеятельности для инвалидов и других маломобильных групп населения в Ивановской области
</t>
  </si>
  <si>
    <t xml:space="preserve">Адаптация объектов системы здравоохранения
</t>
  </si>
  <si>
    <t xml:space="preserve">Приобретение специального оборудования и транспортных средств, необходимых для облегчения проведения медицинских мероприятий для инвалидов, для областных учреждений здравоохранения
</t>
  </si>
  <si>
    <t>Доля областных учреждений здравоохранения, оборудованных с учетом потребностей инвалидов и других маломобильных групп населения, в общем количестве этих учреждений</t>
  </si>
  <si>
    <t xml:space="preserve">Обеспечение деятельности органов
государственной власти Ивановской области
</t>
  </si>
  <si>
    <t xml:space="preserve">Обеспечение деятельности исполнительных органов государственной власти Ивановской области
</t>
  </si>
  <si>
    <t>«Совершенствование институтов государственного управления и местного самоуправления Ивановской области»</t>
  </si>
  <si>
    <t>Развитие системы профессионального образования</t>
  </si>
  <si>
    <t>Количество обучающихся, получающих стипендию Президента Российской Федерации и Правительства Российской Федерации, обучающихся по очной форме обучения по образовательным программам среднего профессионального образования, имеющим государственную аккредитацию, соответствующим приоритетным направлениям модернизации и технологического развития экономики Российской Федерации, в профессиональных образовательных организациях Ивановской области</t>
  </si>
  <si>
    <t>Отчет о ходе реализации Программы, рублей
на ________________ 2016 года</t>
  </si>
  <si>
    <t>Справочно
Объем бюджетных ассигнований,
утвержденных 
Законом о бюджете</t>
  </si>
  <si>
    <t>ИТОГО бюджет ДЗО</t>
  </si>
  <si>
    <t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t>
  </si>
  <si>
    <t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t>
  </si>
  <si>
    <t xml:space="preserve">Развитие дополнительного образования и реализация государственной молодежной политики
</t>
  </si>
  <si>
    <t>Социальная поддержка в сфере образования</t>
  </si>
  <si>
    <t>Предоставление мер государственной поддержки в связи с беременностью и родами, а также детям и семьям, имеющим детей</t>
  </si>
  <si>
    <t>Адаптация объектов системы здравоохранения</t>
  </si>
  <si>
    <t>Гражданская защита населения</t>
  </si>
  <si>
    <t>Гражданская оборона, защита населения и территорий Ивановской области от чрезвычайных ситуаций, поиск и спасение людей на водных объектах</t>
  </si>
  <si>
    <t xml:space="preserve">Обеспечение деятельности органов государственной власти Ивановской области
</t>
  </si>
  <si>
    <t>Реализация программ среднего профессионального образования и основных программ профессионального обучения</t>
  </si>
  <si>
    <t>Развитие профессионального образования</t>
  </si>
  <si>
    <t>ОБЛАСТНОЙ БЮДЖЕТ, ИТОГО</t>
  </si>
  <si>
    <t>ФЕДЕРАЛЬНЫЙ БЮДЖЕТ, ИТОГО</t>
  </si>
  <si>
    <t>здравоохранение ДЗО + ТФОМС</t>
  </si>
  <si>
    <t>мероприятие в стадии реализации</t>
  </si>
  <si>
    <t xml:space="preserve">Соответствие порядкам оказания медицинской помощи и на основе стандартов медицинской помощи
</t>
  </si>
  <si>
    <t>случаев лечения</t>
  </si>
  <si>
    <t>Единовременные компенсационные выплаты медицинским работникам в рамках исполнения судебных решений</t>
  </si>
  <si>
    <t>Наименование подпрограмм и направлений расходов, включенных в ТПГГ</t>
  </si>
  <si>
    <t>Раздел</t>
  </si>
  <si>
    <t xml:space="preserve">Специализированная медицинская помощь, оказываемая в стационарных условиях </t>
  </si>
  <si>
    <t>0903</t>
  </si>
  <si>
    <t>Высокотехнологичная медицинская помощь</t>
  </si>
  <si>
    <t>Оказание высокотехнологичной медицинской помощи</t>
  </si>
  <si>
    <t>Специализированная медицинская помощь, оказываемая в условиях дневного стационара</t>
  </si>
  <si>
    <t>Скорая специализированная медицинская помощь</t>
  </si>
  <si>
    <t>Оказание скорой специализированной медицинской помощи</t>
  </si>
  <si>
    <t>ПРОЧИЕ, в том числе:</t>
  </si>
  <si>
    <t>0901, 
0902,
0903</t>
  </si>
  <si>
    <t>0902,
0903</t>
  </si>
  <si>
    <t>ВСЕГО БЮДЖЕТ В ТПГГ</t>
  </si>
  <si>
    <t>СМП</t>
  </si>
  <si>
    <t>Круглосуточный стационар</t>
  </si>
  <si>
    <t>АПП</t>
  </si>
  <si>
    <t>Дневной стационар</t>
  </si>
  <si>
    <t>ВМП</t>
  </si>
  <si>
    <t xml:space="preserve">Прочие </t>
  </si>
  <si>
    <t>Федеральный подушевой по бюджету</t>
  </si>
  <si>
    <t>Расчетная стоимость по бюджету</t>
  </si>
  <si>
    <t>Дефицит ТПГГ (за минусом МБТ бюджету ТФОМС), тыс.руб.</t>
  </si>
  <si>
    <t>Дефицин в %</t>
  </si>
  <si>
    <t>Расходы ДЗО, не входящие в ТПГГ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</si>
  <si>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 Медицинские колледжи</t>
  </si>
  <si>
    <t>ТПГГ</t>
  </si>
  <si>
    <t>БЮДЖЕТ ДЗО</t>
  </si>
  <si>
    <t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ОБУЗ "ЦБСПИДиИЗ"</t>
  </si>
  <si>
    <t>Первичная медико-санитарная помощь, оказываемая в амбулаторных условиях</t>
  </si>
  <si>
    <t>Центр СПИД</t>
  </si>
  <si>
    <t>09002</t>
  </si>
  <si>
    <t>ДЗО</t>
  </si>
  <si>
    <t>ИТОГО</t>
  </si>
  <si>
    <t>ТПГГ Ивановской области (областной бюджет)</t>
  </si>
  <si>
    <t>тыс.руб.</t>
  </si>
  <si>
    <t xml:space="preserve">Территориальный подушевой по бюджету </t>
  </si>
  <si>
    <t>Расчетная стоимость (консолидированный бюджет)</t>
  </si>
  <si>
    <t>Утвержденная стоимость (консолидированный бюджет), млн. руб.</t>
  </si>
  <si>
    <t>Утвержденная стоимость на 1 жителя, руб.</t>
  </si>
  <si>
    <t>Расчетная стоимость на 1 жителя, руб.</t>
  </si>
  <si>
    <t>приобретение санитарного транспорта, всего</t>
  </si>
  <si>
    <t xml:space="preserve">приобретение иного медицинского оборудования </t>
  </si>
  <si>
    <t xml:space="preserve">Приобретение оборудования для учреждений  системы ОМС </t>
  </si>
  <si>
    <t xml:space="preserve">Приобретение оборудования для учреждений  системы ОМС, в том числе: </t>
  </si>
  <si>
    <t>Финансовое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</t>
  </si>
  <si>
    <t>0170171080</t>
  </si>
  <si>
    <t>0170171090</t>
  </si>
  <si>
    <t>Исполнение судебных актов по лекарственным препаратам</t>
  </si>
  <si>
    <t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t>
  </si>
  <si>
    <t>02 2 01 00460</t>
  </si>
  <si>
    <t xml:space="preserve">Население по прогнозу Росстата на 2017 (2018,2019) </t>
  </si>
  <si>
    <t>ИТОГО НЕ ВОШЛО В ТПГГ</t>
  </si>
  <si>
    <t>«Совершенствование системы оказания медицинской помощи больным прочими заболеваниями»</t>
  </si>
  <si>
    <t>01 3 04 R3820</t>
  </si>
  <si>
    <t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t>
  </si>
  <si>
    <t>Финансовое обеспечение паллиативной медицинской помощи</t>
  </si>
  <si>
    <t>01 8 01 71100</t>
  </si>
  <si>
    <t>Обязательное медицинское страхование неработающего населения</t>
  </si>
  <si>
    <t>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междугородного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№ 93-ОЗ «Об отдельных вопросах организации охраны здоровья граждан в Ивановской области»</t>
  </si>
  <si>
    <t>2. Число посещений с профилактической и иными целями, в т.ч. по профилям:</t>
  </si>
  <si>
    <t>2.1. Число посещений с профилактической и иными целями. Психиатрия</t>
  </si>
  <si>
    <t>2.2. Число посещений с профилактической и иными целями. Фтизиатрия</t>
  </si>
  <si>
    <t>2.3. Число посещений с профилактической и иными целями. Наркология</t>
  </si>
  <si>
    <t>2.4. Число посещений с профилактической и иными целями. Венерология</t>
  </si>
  <si>
    <t>2.5. Число посещений с профилактической и иными целями. Профпатология</t>
  </si>
  <si>
    <t>1. Число посещений, в т.ч. по профилям:</t>
  </si>
  <si>
    <t>1.1. Число посещений. Психиатрия</t>
  </si>
  <si>
    <t>1.2. Число посещений. Фтизиатрия</t>
  </si>
  <si>
    <t>1.3. Число посещений. Наркология</t>
  </si>
  <si>
    <t>1.4. Число посещений. Венерология</t>
  </si>
  <si>
    <t>1.5. Число посещений. Профпатология</t>
  </si>
  <si>
    <t>3. Число посещений по поводу заболевания, в т.ч. по профилям:</t>
  </si>
  <si>
    <t>3.1. Число посещений по поводу заболевания. Психиатрия</t>
  </si>
  <si>
    <t>3.2. Число посещений по поводу заболевания. Фтизиатрия</t>
  </si>
  <si>
    <t>3.3. Число посещений по поводу заболевания. Наркология</t>
  </si>
  <si>
    <t>3.4. Число посещений по поводу заболевания. Венерология</t>
  </si>
  <si>
    <t>4. Число обращений по поводу заболевания, в т.ч. по профилям:</t>
  </si>
  <si>
    <t>4.1 Число обращений по поводу заболевания. Психиатрия</t>
  </si>
  <si>
    <t>4.2 Число обращений по поводу заболевания. Фтизиатрия</t>
  </si>
  <si>
    <t>4.3 Число обращений по поводу заболевания. Наркология</t>
  </si>
  <si>
    <t>4.4 Число обращений по поводу заболевания. Венерология</t>
  </si>
  <si>
    <t>Охват населения профилактическими осмотрами на туберкулез</t>
  </si>
  <si>
    <t>Доля рецептов, находящихся на отсроченном обеспечении</t>
  </si>
  <si>
    <t>процент</t>
  </si>
  <si>
    <t>Уровень информированности населения в возрасте 18 - 49 лет по вопросам ВИЧ-инфекции</t>
  </si>
  <si>
    <t xml:space="preserve">Соответствие порядку организации и производства судебно-медицинских экспертиз
</t>
  </si>
  <si>
    <t xml:space="preserve">Количество человеко-часов по реализации дополнительных профессиональных программ повышения квалификации
</t>
  </si>
  <si>
    <t xml:space="preserve">Количество человеко-часов по реализации дополнительных профессиональных образовательных программ профессиональной переподготовки
</t>
  </si>
  <si>
    <t>чел.-час.</t>
  </si>
  <si>
    <t xml:space="preserve">Доля специалистов из числа административно-управленческого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
</t>
  </si>
  <si>
    <t xml:space="preserve">Доля аккредитованных специалистов
</t>
  </si>
  <si>
    <t xml:space="preserve">Информационная открытость органов
государственной власти Ивановской области
и общественные связи
</t>
  </si>
  <si>
    <t xml:space="preserve">Общественный контроль и экспертная поддержка органов государственной власти Ивановской области
</t>
  </si>
  <si>
    <t xml:space="preserve">Обеспечение деятельности общественных советов при исполнительных органах государственной власти Ивановской области
</t>
  </si>
  <si>
    <t xml:space="preserve">Число общественных советов при исполнительных органах государственной власти Ивановской области
</t>
  </si>
  <si>
    <t xml:space="preserve">единиц
</t>
  </si>
  <si>
    <t>Число пациентов. Нейрохирургия</t>
  </si>
  <si>
    <t>Число пациентов. Сердечно-сосудистая хирургия</t>
  </si>
  <si>
    <t>Число пациентов. Травматология и ортопедия</t>
  </si>
  <si>
    <t>Число пациентов. Офтальмология</t>
  </si>
  <si>
    <t>Число пациентов. Урология</t>
  </si>
  <si>
    <t>Число пациентов. Онкология</t>
  </si>
  <si>
    <t xml:space="preserve">Смертность от туберкулеза
</t>
  </si>
  <si>
    <t xml:space="preserve">на 100 тыс. населения
</t>
  </si>
  <si>
    <t xml:space="preserve"> Объем посещений с профилактическими и иными целями
</t>
  </si>
  <si>
    <t xml:space="preserve"> Объем посещений в неотложной форме
</t>
  </si>
  <si>
    <t xml:space="preserve"> Объем обращений по заболеванию
</t>
  </si>
  <si>
    <t xml:space="preserve"> Количество вызовов для оказания скорой медицинской помощи (за исключением специализированной (санитарно-авиационной) скорой медицинской помощи)
</t>
  </si>
  <si>
    <t>случаев госпитализации</t>
  </si>
  <si>
    <t>обращений</t>
  </si>
  <si>
    <t>число вызовов</t>
  </si>
  <si>
    <t>внебюджетное финансирования</t>
  </si>
  <si>
    <t xml:space="preserve">Организация и проведение мероприятий, посвященных 100-летию со дня образования Иваново-Вознесенской губернии
</t>
  </si>
  <si>
    <t xml:space="preserve">Искусство
</t>
  </si>
  <si>
    <t xml:space="preserve">Развитие культуры и туризма
Ивановской области
</t>
  </si>
  <si>
    <t xml:space="preserve">Проведение мероприятий, связанных с государственными праздниками и памятными датами
</t>
  </si>
  <si>
    <t xml:space="preserve">Количество проведенных мероприятий
</t>
  </si>
  <si>
    <t>«Развитие культуры и туризма Ивановской области»</t>
  </si>
  <si>
    <t xml:space="preserve">Численность государственных гражданских служащих центральных исполнительных органов государственной власти Ивановской области
</t>
  </si>
  <si>
    <t>«Обеспечение безопасности граждан и профилактика правонарушений в Ивановской области»</t>
  </si>
  <si>
    <t xml:space="preserve">Организация и проведение комплекса мероприятий по антиалкогольной политике
</t>
  </si>
  <si>
    <t xml:space="preserve">Борьба с преступностью и обеспечение безопасности граждан
</t>
  </si>
  <si>
    <t xml:space="preserve">Обеспечение
общественного порядка и профилактика правонарушений
</t>
  </si>
  <si>
    <t xml:space="preserve">Потребление алкогольной продукции (в перерасчете на абсолютный алкоголь)
</t>
  </si>
  <si>
    <t>7,17*</t>
  </si>
  <si>
    <t>*-данные за 2017 год (годовой показатель)</t>
  </si>
  <si>
    <t>Региональный проект "Борьба с сердечно-сосудистыми заболеваниями"</t>
  </si>
  <si>
    <t xml:space="preserve">Удельный вес медицинских организаций, в которых проведены работы по капитальному ремонту, по отношению к общему количеству медицинских организаций
</t>
  </si>
  <si>
    <t xml:space="preserve">Доля учреждений здравоохранения, которые дооснащены в соответствующем году оборудованием, в общем количестве приоритетных медицинских организаций, в которых оказываются медицинские услуги
</t>
  </si>
  <si>
    <t xml:space="preserve">Мероприятие "Закупка реактивов и расходных материалов, необходимых для функционирования комплекса генетического оборудования ОБУЗ "Бюро судебно-медицинской экспертизы Ивановской области"
</t>
  </si>
  <si>
    <t xml:space="preserve">Обеспеченность учреждения здравоохранения реактивами и расходными материалами в целях функционирования генетического комплекса
</t>
  </si>
  <si>
    <t xml:space="preserve">Удельный вес медицинских организаций, которым необходимо разработать проектно-сметную документацию с целью проведения работ по капитальному ремонту в текущем году, по отношению к общему количеству медицинских организаций
</t>
  </si>
  <si>
    <t xml:space="preserve">Мероприятие "Приобретение санитарного автотранспорта"
 </t>
  </si>
  <si>
    <t xml:space="preserve">Оснащенность санитарным транспортом в целях доставки пациентов из населенных пунктов с низкой транспортной доступностью в межрайонные центры, в специализированные учреждения здравоохранения Ивановской области в соответствующем году
</t>
  </si>
  <si>
    <t xml:space="preserve">Мероприятие "Мероприятия по развитию материально-технической базы детских поликлиник и детских поликлинических отделений медицинских организаций"
</t>
  </si>
  <si>
    <t>Снижение младенческой смертности</t>
  </si>
  <si>
    <t>случая на 1 тыс. новорожденных, родившихся живыми</t>
  </si>
  <si>
    <t>Снижение детской смертности (в возрасте 0 - 4 года)</t>
  </si>
  <si>
    <t>Доля детских поликлиник и детских поликлинических отделений медицинских организаций, дооснащенных медицинскими изделиями, с целью приведения их в соответствие с требованиями приказа Минздрава России от 07.03.2018 N 92н</t>
  </si>
  <si>
    <t>Доля посещений с профилактической и иными целями детьми в возрасте 0 - 17 лет</t>
  </si>
  <si>
    <t>Доля детей в возрасте 0 - 17 лет от общей численности детского населения, пролеченных в дневных стационарах медицинских организаций, оказывающих медицинскую помощь в амбулаторных условиях</t>
  </si>
  <si>
    <t>Доля детских поликлиник и детских поликлинических отделений медицинских организаций, реализовавших организационно-планировочные решения внутренних пространств, обеспечивающих комфортность пребывания детей, в соответствии с требованиями приказа Минздрава России от 07.03.2018 N 92н</t>
  </si>
  <si>
    <t xml:space="preserve">Мероприятие "Приобретение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Федерации"
</t>
  </si>
  <si>
    <t xml:space="preserve">Увеличение в 2019 году числа посещений сельскими жителями передвижных медицинских комплексов
</t>
  </si>
  <si>
    <t xml:space="preserve">Мероприятие "Приобретение программного комплекса "Региональная медицинская информационная система"
</t>
  </si>
  <si>
    <t xml:space="preserve">Доля медицинских организаций, в которых выполнены настройка и внедрение программного комплекса "Региональная медицинская информационная система"
</t>
  </si>
  <si>
    <t xml:space="preserve">Мероприятие "Внедрение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Федерации"
</t>
  </si>
  <si>
    <t xml:space="preserve">Внедрение и использование медицинскими организациями медицинских информационных систем, соответствующих утверждаемым Министерством здравоохранения Российской Федерации требованиям, обеспечение их информационного взаимодействия с государственными информационными системами в сфере здравоохранения субъектов Российской Федерации и единой государственной информационной системой в сф
</t>
  </si>
  <si>
    <t>Ведение в медицинских организациях расписаний приема врачей в электронном виде и обеспечение возможности дистанционной записи граждан на прием к врачу с использованием единого портала государственных и муниципальных услуг (функций)</t>
  </si>
  <si>
    <t>Обеспечение медицинскими организациями электронного медицинского документооборота, в том числе:</t>
  </si>
  <si>
    <t xml:space="preserve"> ведение электронных медицинских карт пациентов</t>
  </si>
  <si>
    <t>обеспечение обмена медицинской документацией в форме электронных документов между медицинскими организациями</t>
  </si>
  <si>
    <t xml:space="preserve">автоматизированное взаимодействие с единой государственной информационной системой в сфере здравоохранения, включая передачу в нее сведений, содержащихся в медицинских информационных системах, предусмотренных пунктами 2 - 5 части 3 статьи 91.1 Федерального закона "Об основах охраны здоровья граждан Российской Федерации"
</t>
  </si>
  <si>
    <t>формирование счетов (реестра счетов) за оказанную медицинскую помощь и автоматизированное информационное взаимодействие с информационными системами территориальных фондов обязательного медицинского страхования</t>
  </si>
  <si>
    <t xml:space="preserve">Мероприятие "Приобретение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страхования"
</t>
  </si>
  <si>
    <t xml:space="preserve">Количество областных учреждений здравоохранения, осуществляющих деятельность в сфере обязательного медицинского страхования, оснащенных производственным и хозяйственным инвентарем, включая медицинскую мебель
</t>
  </si>
  <si>
    <t>Основное мероприятие "Региональный проект "Борьба с онкологическими заболеваниями"
"</t>
  </si>
  <si>
    <t xml:space="preserve">Переоснащение медицинским оборудованием региональных медицинских организаций, оказывающих помощь больным онкологическими заболеваниями (диспансеров/больниц)
</t>
  </si>
  <si>
    <t xml:space="preserve"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</si>
  <si>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"Капитальный ремонт областных учреждений здравоохранения"
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</si>
  <si>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онкологическими заболеваниями"
</t>
  </si>
  <si>
    <t xml:space="preserve">Мероприятие: "Приобретение оборудования областными учреждениями здравоохранения"
</t>
  </si>
  <si>
    <t xml:space="preserve">Мероприятие "Оснащение оборудованием региональных сосудистых центров и первичных сосудистых отделений"
</t>
  </si>
  <si>
    <t>Переоснащение/дооснащение медицинским оборудованием региональных сосудистых центров и первичных сосудистых отделений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</si>
  <si>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общему количеству медицинских организаций, участвующих в "Региональном проекте "Борьба с сердечно-сосудистыми заболеваниями"</t>
  </si>
  <si>
    <t xml:space="preserve">Доля медицинских организаций, в которых проведены работы по капитальному ремонту, по отношению к общему количеству медицинских организаций, участвующих в "Региональном проекте "Борьба с сердечно-сосудистыми заболеваниями"
</t>
  </si>
  <si>
    <t xml:space="preserve">Основное мероприятие "Региональный проект "Развитие детского здравоохранения, включая создание современной инфраструктуры оказания медицинской помощи детям"
</t>
  </si>
  <si>
    <t>Мероприятие "Развитие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помощь"</t>
  </si>
  <si>
    <t>Снижение младенческой смертности (до 4,5 случая на 1 тыс. родившихся детей)</t>
  </si>
  <si>
    <t>Доля медицинских организаций, которым разработана проектно-сметная документация с целью проведения работ по капитальному ремонту в текущем году, по отношению к запланированным</t>
  </si>
  <si>
    <t>Доля медицинских организаций, в которых выполнен капитальный ремонт в текущем году, по отношению к запланированным</t>
  </si>
  <si>
    <t>Основное мероприятие "Региональный проект "Развитие системы оказания первичной медико-санитарной помощи"</t>
  </si>
  <si>
    <t>Мероприятие "Обеспечение закупки авиационных работ органами государственной власти субъектов Российской Федерации в целях оказания медицинской помощи"</t>
  </si>
  <si>
    <t>Число лиц (пациентов), дополнительно эвакуированных с использованием санитарной авиации (ежегодно человек), не менее</t>
  </si>
  <si>
    <t xml:space="preserve">Мероприятие "Оснащение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человек"
</t>
  </si>
  <si>
    <t xml:space="preserve">Приобретено мобильных медицинских комплексов
</t>
  </si>
  <si>
    <t>штук</t>
  </si>
  <si>
    <t xml:space="preserve">Мероприятие "Создание и замена фельдшерских, фельдшерско-акушерских пунктов и врачебных амбулаторий для населенных пунктов с численностью населения от 100 до 2000 человек"
</t>
  </si>
  <si>
    <t xml:space="preserve">Создание/замена новых фельдшерских, фельдшерско-акушерских пунктов, врачебных амбулаторий
</t>
  </si>
  <si>
    <t xml:space="preserve">Основное мероприятие "Региональный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</si>
  <si>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Мероприятие "Создание единого цифрового контура в здравоохранении на основе единой государственной информационной системы здравоохранения (ЕГИСЗ)"
</t>
  </si>
  <si>
    <t xml:space="preserve">Внедрение в медицинские организации государственной и муниципальной систем здравоохранения информационных систем, соответствующих требованиям Минздрава России и реализации государственных информационных систем в сфере здравоохранения, соответствующих требованиям Минздрава России, обеспечивающих информационное взаимодействие с подсистемами ЕГИСЗ
</t>
  </si>
  <si>
    <t>Число граждан, воспользовавшихся услугами (сервисами) в Личном кабинете пациента "Мое здоровье" на Едином портале государственных услуг и функций в отчетном году</t>
  </si>
  <si>
    <t xml:space="preserve">тысяч человек
</t>
  </si>
  <si>
    <t>Доля медицинских организаций государственной и муниципальной систем здравоохранения,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</t>
  </si>
  <si>
    <t>Доля медицинских организаций государственной и муниципальной систем здравоохранения, обеспечивающих доступ граждан к электронным медицинским документам в Личном кабинете пациента "Мое здоровье" на Едином портале государственных услуг и функций</t>
  </si>
  <si>
    <t>Доля медицинских организаций государственной и муниципальной систем здравоохранения, использующих медицинские информационные системы для организации и оказания медицинской помощи гражданам, обеспечивающих информационное взаимодействие с ЕГИСЗ, %</t>
  </si>
  <si>
    <t>Доля лиц, госпитализированных по экстренным показаниям в течение первых суток, от общего числа больных, к которым совершены вылеты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</si>
  <si>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</si>
  <si>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</si>
  <si>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
</t>
  </si>
  <si>
    <t xml:space="preserve">Охват туберкулинодиагностикой детского населения Ивановской области от 1 года до 17 лет включительно
</t>
  </si>
  <si>
    <t xml:space="preserve">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</si>
  <si>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Численность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а также лиц после трансплантации органов и (или) тканей, имеющих право на меры социальной поддержки по обеспечению лекарственными препаратами в амбулаторных условиях в областных учреждениях здравоохранения в соответствии с законодательством Российской Федерации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</si>
  <si>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</si>
  <si>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17800
</t>
  </si>
  <si>
    <t xml:space="preserve">Численность граждан, которые включены в Федеральный регистр лиц, имеющих право на получение государственной социальной помощи,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</si>
  <si>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гемолитико-уреическим синдромом, юношеским артритом с системным началом, мукополисахаридозом I, II и IV типов, а также после трансплантации органов и (или) тканей"
</t>
  </si>
  <si>
    <t xml:space="preserve">Доля рецептов, находящихся на отсроченном обеспечении
</t>
  </si>
  <si>
    <t xml:space="preserve"> Основное мероприятие "Региональный проект "Старшее поколение"
</t>
  </si>
  <si>
    <t xml:space="preserve">Проведение вакцинации против пневмококковой инфекции граждан старше трудоспособного возраста из группы риска, проживающих в организациях социального обслуживания
</t>
  </si>
  <si>
    <t xml:space="preserve">Не менее 95% лиц старше трудоспособного возраста из групп риска, проживающих в организациях социального обслуживания, прошли к концу 2024 года вакцинацию против пневмококковой инфекции
</t>
  </si>
  <si>
    <t xml:space="preserve">Охват граждан старше трудоспособного возраста
профилактическими осмотрами, включая диспансеризацию
</t>
  </si>
  <si>
    <t>Уровень госпитализации на геронтологические койки лиц старше 60 лет на 10 тыс. населения соответствующего возраста</t>
  </si>
  <si>
    <t>условных едииц</t>
  </si>
  <si>
    <t xml:space="preserve">Проведение дополнительных скринингов лицам старше 65 лет, проживающим в сельской местности, на выявление отдельных социально значимых неинфекционных заболеваний, оказывающих вклад в структуру смертности населения, с возможностью доставки данных лиц в медицинские организации
</t>
  </si>
  <si>
    <t xml:space="preserve">Доля лиц старше трудоспособного возраста, у которых выявлены заболевания и патологические состояния, находящихся под диспансерным наблюдением
</t>
  </si>
  <si>
    <t xml:space="preserve">Профилактика инфекционных заболеваний, включая иммунопрофилактику
</t>
  </si>
  <si>
    <t xml:space="preserve">Закупка аллергена туберкулезного для проведения иммунодиагностики
</t>
  </si>
  <si>
    <t xml:space="preserve">Закупка аллергена туберкулезного очищенного в стандартном разведении для проведения туберкулинодиагностики
</t>
  </si>
  <si>
    <t xml:space="preserve">Оказание первичной медико-санитарной помощи в амбулаторных условиях
</t>
  </si>
  <si>
    <t xml:space="preserve"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
</t>
  </si>
  <si>
    <t xml:space="preserve"> Обеспечение лекарственными препаратами, медицинскими изделиями и лечебным питанием отдельных групп населения Ивановской области
</t>
  </si>
  <si>
    <t xml:space="preserve"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
</t>
  </si>
  <si>
    <t xml:space="preserve">Реализация отдельных полномочий в области лекарственного обеспечения
</t>
  </si>
  <si>
    <t xml:space="preserve"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
</t>
  </si>
  <si>
    <t xml:space="preserve">Реализация отдельных полномочий в области лекарственного обеспечения за счет средств резервного фонда Правительства Российской Федерации
</t>
  </si>
  <si>
    <t xml:space="preserve">Специализированная медицинская помощь
</t>
  </si>
  <si>
    <t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</t>
  </si>
  <si>
    <t>1. Число пациентов, в том числе по профилям</t>
  </si>
  <si>
    <t>1.1. Число пациентов. Психиатрия</t>
  </si>
  <si>
    <t>1.2. Число пациентов. Фтизиатрия</t>
  </si>
  <si>
    <t>1.3. Число пациентов. Психиатрия-наркология (в части наркологии)</t>
  </si>
  <si>
    <t>1.4. Число пациентов. Дерматовенерология (в части венерологии)</t>
  </si>
  <si>
    <t>2. Случаев госпитализации, в том числе по профилям:</t>
  </si>
  <si>
    <t>2.1. Случаев госпитализации. Психиатрия</t>
  </si>
  <si>
    <t>2.2. Случаев госпитализации. Фтизиатрия</t>
  </si>
  <si>
    <t>2.3. Случаев госпитализации. Психиатрия-наркология (в части наркологии)</t>
  </si>
  <si>
    <t>2.4. Случаев госпитализации. Дерматовенерология (в части венерологии)</t>
  </si>
  <si>
    <t>3. Соответствие порядкам оказания медицинской помощи и на основе стандартов медицинской помощи</t>
  </si>
  <si>
    <t>1. Количество исследований</t>
  </si>
  <si>
    <t>2. Количество вскрытий</t>
  </si>
  <si>
    <t>3. Соответствие порядку оказания медицинской помощи по профилю "патологическая анатомия"</t>
  </si>
  <si>
    <t>Мероприятие "Оказание специализированной медицинской помощи в условиях дневного стационара"</t>
  </si>
  <si>
    <t>1. Число пациенто-дней, в том числе по профилям:</t>
  </si>
  <si>
    <t>1.1. Число пациенто-дней. Психиатрия</t>
  </si>
  <si>
    <t>1.2. Число пациенто-дней. Фтизиатрия</t>
  </si>
  <si>
    <t>1.3. Число пациенто-дней. Психиатрия-наркология (в части наркологии)</t>
  </si>
  <si>
    <t>2. Случаев лечения, в том числе по профилям:</t>
  </si>
  <si>
    <t>2.1. Случаев лечения. Психиатрия</t>
  </si>
  <si>
    <t>2.2. Случаев лечения. Фтизиатрия</t>
  </si>
  <si>
    <t>2.3. Случаев лечения. Психиатрия-наркология (в части наркологии)</t>
  </si>
  <si>
    <t>4. Удовлетворенность потребителей в оказанной государственной услуге</t>
  </si>
  <si>
    <t xml:space="preserve"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
</t>
  </si>
  <si>
    <t>Мероприятие "Закупка лекарственных препаратов, необходимых для лечения больных с туберкулезом с широкой лекарственной устойчивостью"</t>
  </si>
  <si>
    <t xml:space="preserve">Мероприятие "Оказание гражданам Российской Федерации высокотехнологичной медицинской помощи, не включенной в базовую программу обязательного медицинского страхования"
</t>
  </si>
  <si>
    <t>Количество пациентов, которым оказана высокотехнологичная медицинская помощь, не включенная в базовую программу обязательного медицинского страхования, в том числе по профилям:</t>
  </si>
  <si>
    <t xml:space="preserve"> Основное мероприятие "Совершенствование оказания медицинской помощи лицам, инфицированным вирусом иммунодефицита человека, гепатитами B и C"
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</si>
  <si>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</t>
  </si>
  <si>
    <t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</t>
  </si>
  <si>
    <t>Соотношение средней заработной платы младшего медицинского персонала (персонала, обеспечивающего предоставление медицинских услуг) и средней заработной платы в субъектах Российской Федерации</t>
  </si>
  <si>
    <t xml:space="preserve">Мероприятие "Оказание медицинской помощи лицам, инфицированным вирусом иммунодефицита человека, гепатитами B и C"
</t>
  </si>
  <si>
    <t>1. Число посещений. ВИЧ-инфекция</t>
  </si>
  <si>
    <t>. Число посещений с профилактической и иными целями</t>
  </si>
  <si>
    <t>3. Число посещений по поводу заболевания</t>
  </si>
  <si>
    <t>4. Число обращений по поводу заболевания</t>
  </si>
  <si>
    <t>5. Соответствие порядкам оказания медицинской помощи и на основе стандартов медицинской помощи</t>
  </si>
  <si>
    <t>6. Удовлетворенность потребителей в оказанной государственной услуге</t>
  </si>
  <si>
    <t xml:space="preserve">Мероприятие "Финансовое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C"
</t>
  </si>
  <si>
    <t>Число ВИЧ-инфицированных пациентов, находящихся на диспансерном наблюдении</t>
  </si>
  <si>
    <t>Число ВИЧ-инфицированных пациентов, находящихся на лечении, в Ивановской области</t>
  </si>
  <si>
    <t xml:space="preserve">Мероприятие "Реализация мероприятий по профилактике ВИЧ-инфекции и гепатитов B и C"
</t>
  </si>
  <si>
    <t>Число лиц, сдавших анализы на наличие ВИЧ</t>
  </si>
  <si>
    <t>Охват медицинским освидетельствованием на ВИЧ-инфекцию населения субъекта Российской Федерации</t>
  </si>
  <si>
    <t xml:space="preserve">Мероприятие "Финансовое обеспечение расходов на 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 в пределах Ивановской области"
</t>
  </si>
  <si>
    <t>Количество государственных и муниципальных учреждений социальной сферы, находящихся в ведении субъекта Российской Федерации и муниципальных образований, в которых действуют попечительские советы с участием в их работе заинтересованных социально ориентированных некоммерческих организаций</t>
  </si>
  <si>
    <t xml:space="preserve">Основное мероприятие "Осуществление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области"
</t>
  </si>
  <si>
    <t>Мероприятие "Оказание специализированной медицинской помощи в стационарных условиях"</t>
  </si>
  <si>
    <t xml:space="preserve"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
</t>
  </si>
  <si>
    <t xml:space="preserve">Мероприятие "Обеспечение доноров, безвозмездно сдавших кровь и (или) ее компоненты, бесплатным питанием"
</t>
  </si>
  <si>
    <t xml:space="preserve">Мероприятие "Повышение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Федерации"
</t>
  </si>
  <si>
    <t xml:space="preserve">Мероприятие "Осуществление заготовки, хранения, транспортировки и обеспечения безопасности донорской крови и (или) ее компонентов"
</t>
  </si>
  <si>
    <t xml:space="preserve">Основное мероприятие "Оказание паллиативной помощи"
</t>
  </si>
  <si>
    <t xml:space="preserve">Мероприятие "Иной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помощи"
</t>
  </si>
  <si>
    <t xml:space="preserve">Объем оказания паллиативной медицинской помощи в стационарных условиях
</t>
  </si>
  <si>
    <t xml:space="preserve">Объем оказания паллиативной медицинской помощи в амбулаторных условиях
</t>
  </si>
  <si>
    <t xml:space="preserve">Мероприятие "Финансовое обеспечение паллиативной медицинской помощи"
</t>
  </si>
  <si>
    <t xml:space="preserve">Мероприятие "Развитие паллиативной медицинской помощи за счет средств резервного фонда Правительства Российской Федерации"
</t>
  </si>
  <si>
    <t xml:space="preserve">Обеспечение расчетной потребности в инвазивных и неинвазивных наркотических лекарственных препаратах в Ивановской области
</t>
  </si>
  <si>
    <t xml:space="preserve">Обеспечение медицинских организаций, оказывающих паллиативную медицинскую помощь, медицинскими изделиями, в том числе для использования на дому, в соответствии с порядками оказания паллиативной медицинской помощи взрослому населению и детям
</t>
  </si>
  <si>
    <t xml:space="preserve">Обеспечение лиц, нуждающихся в паллиативной медицинской помощи на дому, медицинскими изделиями для искусственной вентиляции легких
</t>
  </si>
  <si>
    <t xml:space="preserve">Уровень обеспеченности койками для оказания паллиативной медицинской помощи
</t>
  </si>
  <si>
    <t xml:space="preserve">Число амбулаторных посещений с паллиативной целью к врачам-специалистам и среднему медицинскому персоналу любых специальностей
</t>
  </si>
  <si>
    <t xml:space="preserve">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
</t>
  </si>
  <si>
    <t xml:space="preserve">Основное мероприятие "Выхаживание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включительно"
</t>
  </si>
  <si>
    <t xml:space="preserve">Мероприятие "Обеспечение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включительно"
</t>
  </si>
  <si>
    <t xml:space="preserve">Число детей-сирот и детей, оставшихся без попечения родителей, детей, находящихся в трудной жизненной ситуации, находящихся на круглосуточном содержании
</t>
  </si>
  <si>
    <t xml:space="preserve">Степень загрузки мощностей государственных учреждений здравоохранения, оказывающих государственную услугу
</t>
  </si>
  <si>
    <t xml:space="preserve">Соответствие порядкам оказания медицинской помощи детям на основе стандартов медицинской помощи
</t>
  </si>
  <si>
    <t xml:space="preserve">Основное мероприятие "Выполнение мероприятий, направленных на спасение жизни людей и защиту их здоровья при чрезвычайных ситуациях"
</t>
  </si>
  <si>
    <t xml:space="preserve">Мероприятие "Реализация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ситуациях"
</t>
  </si>
  <si>
    <t xml:space="preserve"> Основное мероприятие "Формирование и сопровождение единой информационно-аналитической системы здравоохранения Ивановской области"
</t>
  </si>
  <si>
    <t xml:space="preserve">Мероприятие "Обеспечение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информации"
</t>
  </si>
  <si>
    <t xml:space="preserve">1. Количество отчетов, составленных по результатам работы
</t>
  </si>
  <si>
    <t>2. Количество отчетов, составленных по результатам работы</t>
  </si>
  <si>
    <t>листов печатных</t>
  </si>
  <si>
    <t xml:space="preserve">3. Количество трудозатрат
</t>
  </si>
  <si>
    <t>человеко-дней</t>
  </si>
  <si>
    <t xml:space="preserve">4. Количество информационных ресурсов и баз данных
</t>
  </si>
  <si>
    <t xml:space="preserve">Основное мероприятие "Выполнение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назначения"
</t>
  </si>
  <si>
    <t xml:space="preserve">Мероприятие "Реализация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хранению"
</t>
  </si>
  <si>
    <t xml:space="preserve">Основное мероприятие "Судебно-медицинская экспертиза"
</t>
  </si>
  <si>
    <t xml:space="preserve">Мероприятие "Проведение судебно-медицинской экспертизы"
</t>
  </si>
  <si>
    <t xml:space="preserve">Количество экспертиз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</si>
  <si>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
 </t>
  </si>
  <si>
    <t xml:space="preserve">Основное мероприятие "Осуществление полномочий Российской Федерации, переданных органам государственной власти субъектов Российской Федерации, в сфере охраны здоровья"
</t>
  </si>
  <si>
    <t xml:space="preserve">Мероприятие "Осуществление переданных полномочий Российской Федерации в сфере охраны здоровья"
</t>
  </si>
  <si>
    <t xml:space="preserve">Количество предоставленных и переоформленных лицензий на осуществление медицинской, фармацевтической деятельности, деятельности по обороту наркотических средств, психотропных веществ и их прекурсоров, культивированию наркосодержащих растений
</t>
  </si>
  <si>
    <t xml:space="preserve">Основное мероприятие "Проект "Создание системы информационного взаимодействия по мониторингу демографической ситуации в Ивановской области"
</t>
  </si>
  <si>
    <t xml:space="preserve">Мероприятие "Внедрение в медицинских организациях Ивановской области информационной системы учета демографической ситуации в регионе"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</si>
  <si>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смертности
</t>
  </si>
  <si>
    <t xml:space="preserve">Доля медицинских организаций, в которых выполнена настройка и внедрение комплексной медицинской информационной системы мониторинга рождаемости
</t>
  </si>
  <si>
    <t xml:space="preserve">Мероприятие "Компенсация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страхования"
</t>
  </si>
  <si>
    <t xml:space="preserve">Среднегодовое число больных, получающих процедуру диализа на аппарате "искусственная почка"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страхования,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
</t>
  </si>
  <si>
    <t xml:space="preserve">Мероприятие "Компенсация стоимости проезда до места обследования (консультации) или лечения (туда и обратно) на всех видах городского пассажирского транспорта (за исключением такси), на автомобильном транспорте общего пользования (за исключением такси) пригородного и междугороднего сообщения, на железнодорожном транспорте (в общем, плацкартном вагоне пассажирского поезда) лицам, установленным частью 1 статьи 3 Закона Ивановской области от 12.11.2012 N 93-ОЗ "Об отдельных вопросах организации охраны здоровья граждан в Ивановской области"
</t>
  </si>
  <si>
    <t xml:space="preserve">Численность лиц, установленных в части 1 статьи 3 Закона Ивановской области от 12.11.2012 N 93-ОЗ "Об отдельных вопросах организации охраны здоровья граждан в Ивановской области", имеющих право на получение мер социальной поддержки
</t>
  </si>
  <si>
    <t xml:space="preserve">Мероприятие "Обеспечение лиц, состоящих на диспансерном учете в ОБУЗ "Областной противотуберкулезный диспансер имени М.Б. Стоюнина", ежемесячным продуктовым набором на весь период курса противотуберкулезной терапии в амбулаторных условиях и в условиях дневных стационаров
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</si>
  <si>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амбулаторных условиях</t>
  </si>
  <si>
    <t>Численность лиц, состоящих на диспансерном учете в ОБУЗ "Областной противотуберкулезный диспансер имени М.Б. Стоюнина", обеспечиваемых ежемесячным продуктовым набором на весь период курса противотуберкулезной терапии в условиях дневных стационаров</t>
  </si>
  <si>
    <t xml:space="preserve"> Основное мероприятие "Меры социальной поддержки по обеспечению отдельных групп населения лекарственными препаратами и изделиями медицинского назначения"
»</t>
  </si>
  <si>
    <t xml:space="preserve">Мероприятие "Обеспечение детей с рождения до 18 лет,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ним)"
</t>
  </si>
  <si>
    <t xml:space="preserve">Численность детей с рождения до 18 лет, больных сахарным диабетом
</t>
  </si>
  <si>
    <t xml:space="preserve">Мероприятие "Обеспечение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инвалидности, лекарственными препаратами и специализированными продуктами лечебного питания"
</t>
  </si>
  <si>
    <t xml:space="preserve">Численность лиц, страдающих заболеваниями, включенными в перечень жизнеугрожающих и хронических прогрессирующих редких (орфанных) заболеваний, приводящих к сокращению продолжительности жизни или инвалидности
</t>
  </si>
  <si>
    <t xml:space="preserve">Мероприятие "Обеспечение граждан лекарственными препаратами и медицинскими изделиями в соответствии с группами населения и категориями заболеваний, указанными в Перечне, утвержденном приложением 1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заболеваний,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</si>
  <si>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и медицинскими изделиями в соответствии с частью 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</si>
  <si>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Мероприятие "Обеспечение граждан лекарственными препаратами по рецептам врачей с 50-процентной скидкой в соответствии с группами населения, указанными в Перечне, утвержденном приложением 2 к постановлению Правительства Российской Федерации от 30.07.1994 N 890 "О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назначения", за исключением лечения заболеваний, по которым обеспечение лекарственными препаратами в соответствии с федеральным законодательством осуществляется за счет бюджетных ассигнований, предусмотренных в федеральном бюджете"
</t>
  </si>
  <si>
    <t xml:space="preserve">Численность граждан, обеспечиваемых лекарственными препаратами по рецептам врачей с 50-процентной скидкой в соответствии с частью 1.1 статьи 4 Закона Ивановской области от 12.11.2012 N 93-ОЗ "Об отдельных вопросах организации охраны здоровья граждан в Ивановской области"
</t>
  </si>
  <si>
    <t xml:space="preserve">Основное мероприятие "Уплата страховых взносов на обязательное медицинское страхование неработающего населения в Федеральный фонд обязательного медицинского страхования"
</t>
  </si>
  <si>
    <t xml:space="preserve">Мероприятие "Обязательное медицинское страхование неработающего населения"
</t>
  </si>
  <si>
    <t xml:space="preserve">Основное мероприятие "Организация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страхования"
</t>
  </si>
  <si>
    <t xml:space="preserve">Мероприятие "Финансовое обеспечение организации обязательного медицинского страхования на территориях субъектов Российской Федерации"
</t>
  </si>
  <si>
    <t xml:space="preserve">1. Объем оказания медицинской помощи в стационарных условиях за счет средств ОМС
</t>
  </si>
  <si>
    <t xml:space="preserve">2. Объем оказания медицинской помощи в условиях дневного стационара за счет средств ОМС
</t>
  </si>
  <si>
    <t xml:space="preserve">Мероприятие "Дополнительное финансовое обеспечение организации обязательного медицинского страхования на территории Ивановской области"
</t>
  </si>
  <si>
    <t xml:space="preserve">Основное мероприятие "Создание системы раннего выявления и коррекции нарушений развития ребенка"
</t>
  </si>
  <si>
    <t xml:space="preserve">Мероприятие "Финансовое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организаций"
</t>
  </si>
  <si>
    <t xml:space="preserve">Доля обследованных новорожденных при проведении неонатального скрининга в общем числе родившихся в Субъекте в текущем году
</t>
  </si>
  <si>
    <t xml:space="preserve">Мероприятие "Финансовое обеспечение мероприятий, направленных на проведение пренатальной (дородовой) диагностики нарушений развития ребенка у беременных женщин"
</t>
  </si>
  <si>
    <t xml:space="preserve">Основное мероприятие "Повышение квалификации и профессиональная переподготовка врачей организаций здравоохранения Ивановской области"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</si>
  <si>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</si>
  <si>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</si>
  <si>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
</t>
  </si>
  <si>
    <t xml:space="preserve">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
</t>
  </si>
  <si>
    <t xml:space="preserve">Доля медицинских и фармацевтических специалистов, обучавшихся в рамках целевой подготовки для нужд Ивановской области, трудоустроившихся после завершения обучения в учреждения здравоохранения, подведомственные Департаменту здравоохранения Ивановской области
</t>
  </si>
  <si>
    <t xml:space="preserve">Основное мероприятие "Единовременные компенсационные выплаты медицинским работникам"
</t>
  </si>
  <si>
    <t xml:space="preserve">Количество медицинских работников, привлеченных для работы в сельских населенных пунктах, либо рабочих поселках, либо поселках городского типа Ивановской области
</t>
  </si>
  <si>
    <t xml:space="preserve">Доля медицинских работников, которым фактически предоставлены единовременные компенсационные выплаты, в общей численности медицинских работников, которым запланировано предоставить указанные выплаты
</t>
  </si>
  <si>
    <t>Совершенствование оказания специализированной, включая высокотехнологичную, медицинской помощи</t>
  </si>
  <si>
    <t xml:space="preserve">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
</t>
  </si>
  <si>
    <t xml:space="preserve">Число граждан, прошедших профилактические осмотры
</t>
  </si>
  <si>
    <t xml:space="preserve">миллионов человек
</t>
  </si>
  <si>
    <t xml:space="preserve">Доля впервые в жизни установленных неинфекционных заболеваний, выявленных при проведении диспансеризации и профилактическом медицинском осмотре
</t>
  </si>
  <si>
    <t xml:space="preserve">Доля записей к врачу, совершенных гражданами без очного обращения в регистратуру медицинской организации
</t>
  </si>
  <si>
    <t xml:space="preserve">Доля обоснованных жалоб (от общего количества поступивших жалоб), урегулированных в досудебном порядке страховыми медицинскими организациями
</t>
  </si>
  <si>
    <t xml:space="preserve">Доля медицинских организаций, оказывающих в рамках обязательного медицинского страхования первичную медико-санитарную помощь, на базе которых функционируют каналы связи граждан со страховыми представителями страховых медицинских организаций (пост страхового представителя, телефон, терминал связи со страховым представителем)
</t>
  </si>
  <si>
    <t xml:space="preserve">Количество посещений при выездах мобильных медицинских бригад
</t>
  </si>
  <si>
    <t>тысяч посещений</t>
  </si>
  <si>
    <t xml:space="preserve">Количество медицинских организаций, участвующих в создании и тиражировании "Новой модели медицинской организации, оказывающей первичную медико-санитарную помощь"
</t>
  </si>
  <si>
    <t>Мероприятие "Проведение патолого-анатомических вскрытий "</t>
  </si>
  <si>
    <t>Соотношение средней заработной платы врачей и иных работников медицинских организаций, имеющих высшее медицинское (фармацевтическое) или иное высшее профессиональное образование, предоставляющих медицинские услуги (обеспечивающих предоставление медицинских услуг), и средней заработной платы в субъектах Российской Федерации)</t>
  </si>
  <si>
    <t>Количество медицинских организаций, оснащенных оборудованием в рамках "Регионального проекта "Борьба с онкологическими заболеваниями"</t>
  </si>
  <si>
    <t xml:space="preserve">Смертность населения от всех причин
</t>
  </si>
  <si>
    <t>на 1000 населения</t>
  </si>
  <si>
    <t xml:space="preserve">Младенческая смертность
</t>
  </si>
  <si>
    <t>на 1000 родившихся живыми</t>
  </si>
  <si>
    <t>лет</t>
  </si>
  <si>
    <t>на 100 000 населения</t>
  </si>
  <si>
    <t>Суммарный коэффициент рождаемости</t>
  </si>
  <si>
    <t>единица</t>
  </si>
  <si>
    <t xml:space="preserve">Среднемесячная начисленная заработная плата по виду экономической деятельности "Деятельность в области здравоохранения и социальных услуг"
</t>
  </si>
  <si>
    <t>рублей</t>
  </si>
  <si>
    <t xml:space="preserve">Обеспеченность населения врачами
</t>
  </si>
  <si>
    <t xml:space="preserve">на 10 тыс. населения
</t>
  </si>
  <si>
    <t xml:space="preserve">Количество среднего медицинского персонала, приходящегося на 1 врача
</t>
  </si>
  <si>
    <t>Общая продолжительность жизни</t>
  </si>
  <si>
    <t xml:space="preserve">Естественный прирост населения
</t>
  </si>
  <si>
    <t xml:space="preserve">Смертность населения в трудоспособном возрасте
</t>
  </si>
  <si>
    <t xml:space="preserve">Смертность от болезней системы кровообращения
</t>
  </si>
  <si>
    <t xml:space="preserve">Смертность от новообразований (в том числе злокачественных)
</t>
  </si>
  <si>
    <t>Фактические данные будут представлены ТОФСГС по Ивановской областине ранее декабря 2020 года</t>
  </si>
  <si>
    <t>Удельный вес больных со злокачественными новообразованиями, состоящих на учете 5 лет и более, %</t>
  </si>
  <si>
    <t xml:space="preserve">Одногодичная летальность больных со злокачественными новообразованиями (умерли в течение первого года с момента установления диагноза из числа больных, впервые взятых на учет в предыдущем году)
</t>
  </si>
  <si>
    <t xml:space="preserve">Доля злокачественных новообразований, выявленных на ранних стадиях
</t>
  </si>
  <si>
    <t>Смертность от инфаркта миокарда, на 100 тыс. населения</t>
  </si>
  <si>
    <t>Смертность от острого нарушения мозгового кровообращения, на 100 тыс. населения</t>
  </si>
  <si>
    <t>Больничная летальность от инфаркта миокарда, %</t>
  </si>
  <si>
    <t>Больничная летальность от острого нарушения мозгового кровообращения, %</t>
  </si>
  <si>
    <t>Отношение числа рентгенэндоваскулярных вмешательств в лечебных целях к общему числу выбывших больных, перенесших острый коронарный синдром, %</t>
  </si>
  <si>
    <t>Количество рентгенэндоваскулярных вмешательств в лечебных целях, тыс. ед.</t>
  </si>
  <si>
    <t>Доля профильных госпитализаций пациентов с острыми нарушениями мозгового кровообращения, доставленных автомобилями скорой медицинской помощи, %</t>
  </si>
  <si>
    <t>тысяч единиц</t>
  </si>
  <si>
    <t>промилле (0,1 процента)</t>
  </si>
  <si>
    <t>число случаев на 100 тысяч детей соответствующего возраста</t>
  </si>
  <si>
    <t>Доля преждевременных родов (22 - 37 недель) в перинатальных центрах (%)</t>
  </si>
  <si>
    <t>Смертность детей в возрасте 0 - 4 года на 1000 родившихся живыми</t>
  </si>
  <si>
    <t>Смертность детей в возрасте 0 - 17 лет на 100000 детей соответствующего возраста</t>
  </si>
  <si>
    <t>Доля посещений детьми медицинских организаций с профилактическими целями</t>
  </si>
  <si>
    <t>Доля взятых под диспансерное наблюдение детей в возрасте 0 - 17 лет с впервые в жизни установленными диагнозами болезней костно-мышечной системы и соединительной ткани</t>
  </si>
  <si>
    <t>Доля взятых под диспансерное наблюдение детей в возрасте 0 - 17 лет с впервые в жизни установленными диагнозами болезней глаза и его придаточного аппарата</t>
  </si>
  <si>
    <t>Доля взятых под диспансерное наблюдение детей в возрасте 0 - 17 лет с впервые в жизни установленными диагнозами болезней органов пищеварения</t>
  </si>
  <si>
    <t>Доля взятых под диспансерное наблюдение детей в возрасте 0 - 17 лет с впервые в жизни установленными диагнозами болезней органов кровообращения</t>
  </si>
  <si>
    <t>Доля взятых под диспансерное наблюдение детей в возрасте 0 - 17 лет с впервые в жизни установленными диагнозами болезней эндокринной системы, расстройств питания и нарушения обмена веществ</t>
  </si>
  <si>
    <t>4,9*</t>
  </si>
  <si>
    <t>704,2*</t>
  </si>
  <si>
    <t>233,2*</t>
  </si>
  <si>
    <t>Отчет о ходе реализации Программы, рублей
на 01 октября 2019 года</t>
  </si>
  <si>
    <t xml:space="preserve">Мероприятие "Приобретение автомобилей скорой медицинской помощи"
</t>
  </si>
  <si>
    <t>Доля медицинских организаций, оказывающих скорую медицинскую помощь, в которых обновлен парк автомобилей скорой помощи за счет средств областного бюджета</t>
  </si>
  <si>
    <t xml:space="preserve">Приобретение автотранспорта областным учреждениям здравоохранения
</t>
  </si>
  <si>
    <t xml:space="preserve">количество приобретенного автотранспорта
</t>
  </si>
  <si>
    <t xml:space="preserve">Мероприятие "Приобретение и установка модульных конструкций фельдшерско-акушерских пунктов и врачебных амбулаторий для населенных пунктов с численностью населения от 100 до 2000 человек"
</t>
  </si>
  <si>
    <t xml:space="preserve">Приобретение и установка новых фельдшерских, фельдшерско-акушерских пунктов, врачебных амбулаторий
</t>
  </si>
  <si>
    <t xml:space="preserve">Мероприятие "Капитальный ремонт областных учреждений здравоохранения"
</t>
  </si>
  <si>
    <t xml:space="preserve">Доля медицинских организаций, в которых выполнен капитальный ремонт в текущем году, по отношению к запланированным
</t>
  </si>
  <si>
    <t xml:space="preserve">Основное мероприятие "Социальная поддержка отдельных категорий медицинских работников
"
</t>
  </si>
  <si>
    <t xml:space="preserve">Единовременная выплата врачам, принятым на работу в государственные учреждения здравоохранения Ивановской области
</t>
  </si>
  <si>
    <t xml:space="preserve">Единовременная социальная выплата врачам на оплату первоначального взноса (части первоначального взноса) по ипотечным жилищным кредитам
</t>
  </si>
  <si>
    <t xml:space="preserve">число медицинских работников, которым предоставляется выплата
</t>
  </si>
  <si>
    <t>число медицинских работников, которым предоставляется выплата</t>
  </si>
  <si>
    <t xml:space="preserve">Мероприятие: "Разработка (корректировка) проектно-сметной документации на капитальный ремонт областных учреждений здравоохранения"
</t>
  </si>
  <si>
    <t>проверить исполнение</t>
  </si>
  <si>
    <t xml:space="preserve">Мероприятие "Создание и оснащение референс-центров для проведения иммуногистохимических, патоморфологических исследований и лучевых методов исследований, переоснащение сети региональных медицинских организаций, оказывающих помощь больным онкологическими заболеваниями"
</t>
  </si>
  <si>
    <t>Мероприятие Разработка (корректировка) проектно-сметной документации на капитальный ремонт областных учреждений здравоохранения</t>
  </si>
  <si>
    <t xml:space="preserve">Мероприятие:
"Разработка (корректировка) проектно-сметной документации на капитальный ремонт областных учреждений здравоохранения"
</t>
  </si>
  <si>
    <t xml:space="preserve">Основное мероприятие "Региональный проект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</si>
  <si>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 xml:space="preserve">Мероприятие "Формирование системы мотивации граждан к здоровому образу жизни, включая здоровое питание и отказ от вредных привычек (Укрепление общественного здоровья)"
</t>
  </si>
  <si>
    <t xml:space="preserve">Смертность женщин в возрасте 16 - 54 лет
</t>
  </si>
  <si>
    <t xml:space="preserve">252,5
</t>
  </si>
  <si>
    <t xml:space="preserve">на 100 тысяч человек
</t>
  </si>
  <si>
    <t xml:space="preserve">Смертность мужчин в возрасте 16 - 59 лет
</t>
  </si>
  <si>
    <t xml:space="preserve">795,9
</t>
  </si>
  <si>
    <t xml:space="preserve">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средней заработной платы в субъектах Российской Федерации 
</t>
  </si>
  <si>
    <t xml:space="preserve">Основное мероприятие "Предупреждение и борьба с социально значимыми инфекционными заболеваниями"
</t>
  </si>
  <si>
    <t xml:space="preserve">Финансовое обеспечение закупок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
</t>
  </si>
  <si>
    <t xml:space="preserve">Мероприятие "Реализация мероприятий по предупреждению и борьбе с социально значимыми инфекционными заболеваниями (Закупка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B и (или) C, в соответствии с перечнем, утвержденным Министерством здравоохранения Российской Федерации)"
</t>
  </si>
  <si>
    <t xml:space="preserve">Мероприятие "Реализация мероприятий по предупреждению и борьбе с социально значимыми инфекционными заболеваниями (Повышение информированности граждан по вопросам профилактики ВИЧ-инфекции, а также заболеваний, ассоциированных с ВИЧ-инфекцией, в том числе с привлечением к реализации указанных мероприятий социально ориентированных некоммерческих организаций)"
"
</t>
  </si>
  <si>
    <t xml:space="preserve">Финансовое обеспечение реализации мероприятий по профилактике ВИЧ-инфекции и гепатитов B и C, в том числе за счет средств резервного фонда Правительства Российской Федерации
</t>
  </si>
  <si>
    <t xml:space="preserve">Реализация мероприятий по предупреждению и борьбе с социально значимыми инфекционными заболеваниями (Закупка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туберкулезом)
</t>
  </si>
  <si>
    <t xml:space="preserve">Региональный проект "Развитие экспорта медицинских услуг"
</t>
  </si>
  <si>
    <t xml:space="preserve">Мероприятие "Развитие экспорта медицинских услуг"
</t>
  </si>
  <si>
    <t xml:space="preserve">Количество пролеченных иностранных граждан
</t>
  </si>
  <si>
    <t xml:space="preserve">тысяча человек
</t>
  </si>
  <si>
    <t xml:space="preserve">0,04
</t>
  </si>
  <si>
    <t xml:space="preserve">Мероприятие "Развитие паллиативной медицинской помощи (Обеспечение медицинских организаций, оказывающих паллиативную медицинскую помощь, медицинскими изделиями, в том числе для использования на дому)"
</t>
  </si>
  <si>
    <t xml:space="preserve">тысяча коек
</t>
  </si>
  <si>
    <t xml:space="preserve">тысяча посещений
</t>
  </si>
  <si>
    <t xml:space="preserve">процент
</t>
  </si>
  <si>
    <t xml:space="preserve">Мероприятие "Развитие паллиативной медицинской помощи (Обеспечение лекарственными препаратами, в том числе для обезболивания)"
</t>
  </si>
  <si>
    <t xml:space="preserve">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
</t>
  </si>
  <si>
    <t xml:space="preserve">Основное мероприятие "Региональный проект "Обеспечение медицинских организаций системы здравоохранения Ивановской области квалифицированными кадрами"
</t>
  </si>
  <si>
    <t xml:space="preserve">Мероприятие "Обеспечение медицинских организаций системы здравоохранения Ивановской области квалифицированными кадрами"
</t>
  </si>
  <si>
    <t xml:space="preserve">Укомплектованность должностей среднего медицинского персонала в подразделениях, оказывающих медицинскую помощь в амбулаторных условиях (физическими лицами при коэффициенте совместительства 1,2)
</t>
  </si>
  <si>
    <t xml:space="preserve">Число специалистов, вовлеченных в систему непрерывного образования медицинских работников, в том числе с использованием дистанционных образовательных технологий
</t>
  </si>
  <si>
    <t xml:space="preserve">процентов
</t>
  </si>
  <si>
    <t xml:space="preserve">человек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</si>
</sst>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1" fillId="0" borderId="0" xfId="0" applyNumberFormat="1" applyFont="1"/>
    <xf numFmtId="49" fontId="8" fillId="0" borderId="20" xfId="0" applyNumberFormat="1" applyFont="1" applyBorder="1" applyAlignment="1">
      <alignment horizontal="left" vertical="top" wrapText="1"/>
    </xf>
    <xf numFmtId="0" fontId="6" fillId="5" borderId="12" xfId="0" applyFont="1" applyFill="1" applyBorder="1" applyAlignment="1">
      <alignment horizontal="center" vertical="top" wrapText="1"/>
    </xf>
    <xf numFmtId="0" fontId="10" fillId="5" borderId="12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49" fontId="7" fillId="6" borderId="12" xfId="0" applyNumberFormat="1" applyFont="1" applyFill="1" applyBorder="1" applyAlignment="1">
      <alignment horizontal="left" vertical="top" wrapText="1"/>
    </xf>
    <xf numFmtId="49" fontId="8" fillId="5" borderId="20" xfId="0" applyNumberFormat="1" applyFont="1" applyFill="1" applyBorder="1" applyAlignment="1">
      <alignment horizontal="left" vertical="top" wrapText="1" shrinkToFit="1"/>
    </xf>
    <xf numFmtId="1" fontId="4" fillId="0" borderId="12" xfId="0" applyNumberFormat="1" applyFont="1" applyBorder="1" applyAlignment="1">
      <alignment horizontal="center" vertical="top" wrapText="1"/>
    </xf>
    <xf numFmtId="1" fontId="9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vertical="top"/>
    </xf>
    <xf numFmtId="4" fontId="4" fillId="0" borderId="28" xfId="0" applyNumberFormat="1" applyFont="1" applyBorder="1" applyAlignment="1">
      <alignment vertical="top"/>
    </xf>
    <xf numFmtId="49" fontId="6" fillId="0" borderId="12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/>
    </xf>
    <xf numFmtId="4" fontId="4" fillId="0" borderId="5" xfId="0" applyNumberFormat="1" applyFont="1" applyBorder="1" applyAlignment="1">
      <alignment vertical="top"/>
    </xf>
    <xf numFmtId="49" fontId="8" fillId="5" borderId="28" xfId="0" applyNumberFormat="1" applyFont="1" applyFill="1" applyBorder="1" applyAlignment="1">
      <alignment horizontal="left" vertical="top" wrapText="1" shrinkToFit="1"/>
    </xf>
    <xf numFmtId="49" fontId="7" fillId="0" borderId="12" xfId="0" applyNumberFormat="1" applyFont="1" applyFill="1" applyBorder="1" applyAlignment="1">
      <alignment horizontal="left" vertical="top" wrapText="1" shrinkToFit="1"/>
    </xf>
    <xf numFmtId="49" fontId="8" fillId="5" borderId="11" xfId="0" applyNumberFormat="1" applyFont="1" applyFill="1" applyBorder="1" applyAlignment="1">
      <alignment horizontal="left" vertical="top" wrapText="1" shrinkToFit="1"/>
    </xf>
    <xf numFmtId="49" fontId="8" fillId="5" borderId="25" xfId="0" applyNumberFormat="1" applyFont="1" applyFill="1" applyBorder="1" applyAlignment="1">
      <alignment horizontal="left" vertical="top" wrapText="1" shrinkToFit="1"/>
    </xf>
    <xf numFmtId="49" fontId="8" fillId="0" borderId="25" xfId="0" applyNumberFormat="1" applyFont="1" applyBorder="1" applyAlignment="1">
      <alignment horizontal="left" vertical="top" wrapText="1"/>
    </xf>
    <xf numFmtId="49" fontId="8" fillId="5" borderId="28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>
      <alignment vertical="top" wrapText="1"/>
    </xf>
    <xf numFmtId="4" fontId="4" fillId="0" borderId="12" xfId="0" applyNumberFormat="1" applyFont="1" applyFill="1" applyBorder="1" applyAlignment="1">
      <alignment vertical="top"/>
    </xf>
    <xf numFmtId="49" fontId="8" fillId="5" borderId="23" xfId="0" applyNumberFormat="1" applyFont="1" applyFill="1" applyBorder="1" applyAlignment="1">
      <alignment horizontal="left" vertical="top" wrapText="1" shrinkToFit="1"/>
    </xf>
    <xf numFmtId="49" fontId="5" fillId="5" borderId="16" xfId="0" applyNumberFormat="1" applyFont="1" applyFill="1" applyBorder="1" applyAlignment="1">
      <alignment horizontal="left" vertical="top" wrapText="1" shrinkToFit="1"/>
    </xf>
    <xf numFmtId="49" fontId="8" fillId="5" borderId="16" xfId="0" applyNumberFormat="1" applyFont="1" applyFill="1" applyBorder="1" applyAlignment="1">
      <alignment horizontal="left" vertical="top" wrapText="1" shrinkToFit="1"/>
    </xf>
    <xf numFmtId="49" fontId="8" fillId="5" borderId="17" xfId="0" applyNumberFormat="1" applyFont="1" applyFill="1" applyBorder="1" applyAlignment="1">
      <alignment horizontal="left" vertical="top" wrapText="1" shrinkToFit="1"/>
    </xf>
    <xf numFmtId="4" fontId="4" fillId="0" borderId="17" xfId="0" applyNumberFormat="1" applyFont="1" applyFill="1" applyBorder="1" applyAlignment="1">
      <alignment vertical="top"/>
    </xf>
    <xf numFmtId="49" fontId="8" fillId="5" borderId="12" xfId="0" applyNumberFormat="1" applyFont="1" applyFill="1" applyBorder="1" applyAlignment="1">
      <alignment horizontal="left" vertical="top" wrapText="1" shrinkToFit="1"/>
    </xf>
    <xf numFmtId="49" fontId="8" fillId="5" borderId="12" xfId="0" applyNumberFormat="1" applyFont="1" applyFill="1" applyBorder="1" applyAlignment="1">
      <alignment vertical="top" wrapText="1" shrinkToFit="1"/>
    </xf>
    <xf numFmtId="0" fontId="7" fillId="2" borderId="12" xfId="0" applyFont="1" applyFill="1" applyBorder="1" applyAlignment="1">
      <alignment vertical="top" wrapText="1"/>
    </xf>
    <xf numFmtId="0" fontId="7" fillId="0" borderId="12" xfId="0" applyFont="1" applyFill="1" applyBorder="1" applyAlignment="1">
      <alignment vertical="top" wrapText="1"/>
    </xf>
    <xf numFmtId="49" fontId="6" fillId="0" borderId="12" xfId="0" applyNumberFormat="1" applyFont="1" applyFill="1" applyBorder="1" applyAlignment="1">
      <alignment horizontal="center" vertical="top" wrapText="1" shrinkToFit="1"/>
    </xf>
    <xf numFmtId="49" fontId="7" fillId="0" borderId="12" xfId="0" applyNumberFormat="1" applyFont="1" applyFill="1" applyBorder="1" applyAlignment="1">
      <alignment horizontal="center" vertical="top" wrapText="1" shrinkToFit="1"/>
    </xf>
    <xf numFmtId="0" fontId="4" fillId="2" borderId="12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9" fontId="6" fillId="5" borderId="11" xfId="0" applyNumberFormat="1" applyFont="1" applyFill="1" applyBorder="1" applyAlignment="1">
      <alignment horizontal="center" vertical="top" wrapText="1" shrinkToFit="1"/>
    </xf>
    <xf numFmtId="0" fontId="4" fillId="0" borderId="0" xfId="0" applyFont="1" applyAlignment="1">
      <alignment horizontal="center" vertical="top" wrapText="1"/>
    </xf>
    <xf numFmtId="4" fontId="7" fillId="2" borderId="5" xfId="0" applyNumberFormat="1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4" fontId="7" fillId="3" borderId="5" xfId="0" applyNumberFormat="1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8" fillId="0" borderId="25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1" fontId="11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7" fillId="5" borderId="16" xfId="0" applyNumberFormat="1" applyFont="1" applyFill="1" applyBorder="1" applyAlignment="1">
      <alignment horizontal="center" vertical="top" wrapText="1" shrinkToFit="1"/>
    </xf>
    <xf numFmtId="0" fontId="8" fillId="0" borderId="16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vertical="top" wrapText="1"/>
    </xf>
    <xf numFmtId="4" fontId="4" fillId="6" borderId="4" xfId="0" applyNumberFormat="1" applyFont="1" applyFill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4" fontId="8" fillId="0" borderId="56" xfId="0" applyNumberFormat="1" applyFont="1" applyFill="1" applyBorder="1" applyAlignment="1">
      <alignment horizontal="right" vertical="top" wrapText="1"/>
    </xf>
    <xf numFmtId="4" fontId="8" fillId="0" borderId="57" xfId="0" applyNumberFormat="1" applyFont="1" applyBorder="1" applyAlignment="1">
      <alignment horizontal="right" vertical="top" wrapText="1"/>
    </xf>
    <xf numFmtId="4" fontId="8" fillId="5" borderId="45" xfId="0" applyNumberFormat="1" applyFont="1" applyFill="1" applyBorder="1" applyAlignment="1">
      <alignment horizontal="right" vertical="top" wrapText="1" shrinkToFit="1"/>
    </xf>
    <xf numFmtId="4" fontId="8" fillId="5" borderId="56" xfId="0" applyNumberFormat="1" applyFont="1" applyFill="1" applyBorder="1" applyAlignment="1">
      <alignment horizontal="right" vertical="top" wrapText="1" shrinkToFit="1"/>
    </xf>
    <xf numFmtId="4" fontId="8" fillId="5" borderId="52" xfId="0" applyNumberFormat="1" applyFont="1" applyFill="1" applyBorder="1" applyAlignment="1">
      <alignment horizontal="right" vertical="top" wrapText="1" shrinkToFit="1"/>
    </xf>
    <xf numFmtId="4" fontId="8" fillId="5" borderId="59" xfId="0" applyNumberFormat="1" applyFont="1" applyFill="1" applyBorder="1" applyAlignment="1">
      <alignment horizontal="right" vertical="top" wrapText="1" shrinkToFit="1"/>
    </xf>
    <xf numFmtId="4" fontId="8" fillId="5" borderId="44" xfId="0" applyNumberFormat="1" applyFont="1" applyFill="1" applyBorder="1" applyAlignment="1">
      <alignment horizontal="right" vertical="top" wrapText="1" shrinkToFit="1"/>
    </xf>
    <xf numFmtId="4" fontId="8" fillId="5" borderId="0" xfId="0" applyNumberFormat="1" applyFont="1" applyFill="1" applyBorder="1" applyAlignment="1">
      <alignment horizontal="right" vertical="top" wrapText="1" shrinkToFit="1"/>
    </xf>
    <xf numFmtId="4" fontId="8" fillId="5" borderId="47" xfId="0" applyNumberFormat="1" applyFont="1" applyFill="1" applyBorder="1" applyAlignment="1">
      <alignment horizontal="right" vertical="top" wrapText="1" shrinkToFit="1"/>
    </xf>
    <xf numFmtId="4" fontId="8" fillId="5" borderId="57" xfId="0" applyNumberFormat="1" applyFont="1" applyFill="1" applyBorder="1" applyAlignment="1">
      <alignment horizontal="right" vertical="top" wrapText="1" shrinkToFit="1"/>
    </xf>
    <xf numFmtId="4" fontId="8" fillId="5" borderId="49" xfId="0" applyNumberFormat="1" applyFont="1" applyFill="1" applyBorder="1" applyAlignment="1">
      <alignment horizontal="right" vertical="top" wrapText="1" shrinkToFit="1"/>
    </xf>
    <xf numFmtId="4" fontId="8" fillId="5" borderId="51" xfId="0" applyNumberFormat="1" applyFont="1" applyFill="1" applyBorder="1" applyAlignment="1">
      <alignment horizontal="right" vertical="top" wrapText="1" shrinkToFit="1"/>
    </xf>
    <xf numFmtId="4" fontId="8" fillId="0" borderId="0" xfId="0" applyNumberFormat="1" applyFont="1" applyBorder="1" applyAlignment="1">
      <alignment horizontal="right" vertical="top" wrapText="1"/>
    </xf>
    <xf numFmtId="4" fontId="8" fillId="5" borderId="51" xfId="0" applyNumberFormat="1" applyFont="1" applyFill="1" applyBorder="1" applyAlignment="1">
      <alignment horizontal="right" vertical="top" wrapText="1"/>
    </xf>
    <xf numFmtId="4" fontId="8" fillId="5" borderId="56" xfId="0" applyNumberFormat="1" applyFont="1" applyFill="1" applyBorder="1" applyAlignment="1">
      <alignment horizontal="right" vertical="top" wrapText="1"/>
    </xf>
    <xf numFmtId="4" fontId="8" fillId="5" borderId="61" xfId="0" applyNumberFormat="1" applyFont="1" applyFill="1" applyBorder="1" applyAlignment="1">
      <alignment horizontal="right" vertical="top" wrapText="1" shrinkToFit="1"/>
    </xf>
    <xf numFmtId="4" fontId="8" fillId="5" borderId="60" xfId="0" applyNumberFormat="1" applyFont="1" applyFill="1" applyBorder="1" applyAlignment="1">
      <alignment horizontal="right" vertical="top" wrapText="1" shrinkToFit="1"/>
    </xf>
    <xf numFmtId="4" fontId="8" fillId="5" borderId="34" xfId="0" applyNumberFormat="1" applyFont="1" applyFill="1" applyBorder="1" applyAlignment="1">
      <alignment horizontal="right" vertical="top" wrapText="1" shrinkToFit="1"/>
    </xf>
    <xf numFmtId="4" fontId="8" fillId="5" borderId="62" xfId="0" applyNumberFormat="1" applyFont="1" applyFill="1" applyBorder="1" applyAlignment="1">
      <alignment horizontal="right" vertical="top" wrapText="1" shrinkToFit="1"/>
    </xf>
    <xf numFmtId="4" fontId="8" fillId="5" borderId="4" xfId="0" applyNumberFormat="1" applyFont="1" applyFill="1" applyBorder="1" applyAlignment="1">
      <alignment horizontal="right" vertical="top" wrapText="1" shrinkToFit="1"/>
    </xf>
    <xf numFmtId="4" fontId="8" fillId="5" borderId="53" xfId="0" applyNumberFormat="1" applyFont="1" applyFill="1" applyBorder="1" applyAlignment="1">
      <alignment horizontal="right" vertical="top" wrapText="1" shrinkToFit="1"/>
    </xf>
    <xf numFmtId="4" fontId="8" fillId="0" borderId="59" xfId="0" applyNumberFormat="1" applyFont="1" applyBorder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8" fillId="0" borderId="51" xfId="0" applyNumberFormat="1" applyFont="1" applyBorder="1" applyAlignment="1">
      <alignment horizontal="right" vertical="top" wrapText="1"/>
    </xf>
    <xf numFmtId="4" fontId="8" fillId="0" borderId="52" xfId="0" applyNumberFormat="1" applyFont="1" applyBorder="1" applyAlignment="1">
      <alignment horizontal="right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4" xfId="0" applyNumberFormat="1" applyFont="1" applyFill="1" applyBorder="1" applyAlignment="1">
      <alignment horizontal="right" vertical="top" wrapText="1"/>
    </xf>
    <xf numFmtId="4" fontId="7" fillId="3" borderId="22" xfId="0" applyNumberFormat="1" applyFont="1" applyFill="1" applyBorder="1" applyAlignment="1">
      <alignment vertical="top" wrapText="1"/>
    </xf>
    <xf numFmtId="4" fontId="7" fillId="2" borderId="22" xfId="0" applyNumberFormat="1" applyFont="1" applyFill="1" applyBorder="1" applyAlignment="1">
      <alignment vertical="top" wrapText="1"/>
    </xf>
    <xf numFmtId="4" fontId="7" fillId="0" borderId="22" xfId="0" applyNumberFormat="1" applyFont="1" applyFill="1" applyBorder="1" applyAlignment="1">
      <alignment vertical="top" wrapText="1"/>
    </xf>
    <xf numFmtId="4" fontId="8" fillId="0" borderId="22" xfId="0" applyNumberFormat="1" applyFont="1" applyFill="1" applyBorder="1" applyAlignment="1">
      <alignment vertical="top" wrapText="1"/>
    </xf>
    <xf numFmtId="4" fontId="8" fillId="0" borderId="3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4" fontId="8" fillId="0" borderId="18" xfId="0" applyNumberFormat="1" applyFont="1" applyBorder="1" applyAlignment="1">
      <alignment horizontal="right" vertical="top" wrapText="1"/>
    </xf>
    <xf numFmtId="4" fontId="8" fillId="0" borderId="18" xfId="0" applyNumberFormat="1" applyFont="1" applyFill="1" applyBorder="1" applyAlignment="1">
      <alignment horizontal="right" vertical="top" wrapText="1"/>
    </xf>
    <xf numFmtId="4" fontId="8" fillId="0" borderId="5" xfId="0" applyNumberFormat="1" applyFont="1" applyFill="1" applyBorder="1" applyAlignment="1">
      <alignment horizontal="right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0" borderId="5" xfId="0" applyNumberFormat="1" applyFont="1" applyBorder="1" applyAlignment="1">
      <alignment horizontal="center" vertical="top" wrapText="1"/>
    </xf>
    <xf numFmtId="0" fontId="7" fillId="5" borderId="4" xfId="0" applyNumberFormat="1" applyFont="1" applyFill="1" applyBorder="1" applyAlignment="1">
      <alignment horizontal="center" vertical="top" wrapText="1"/>
    </xf>
    <xf numFmtId="0" fontId="7" fillId="5" borderId="5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Alignment="1">
      <alignment wrapText="1"/>
    </xf>
    <xf numFmtId="4" fontId="8" fillId="0" borderId="0" xfId="0" applyNumberFormat="1" applyFont="1"/>
    <xf numFmtId="4" fontId="7" fillId="0" borderId="0" xfId="0" applyNumberFormat="1" applyFont="1" applyAlignment="1">
      <alignment wrapText="1"/>
    </xf>
    <xf numFmtId="49" fontId="7" fillId="5" borderId="39" xfId="0" applyNumberFormat="1" applyFont="1" applyFill="1" applyBorder="1" applyAlignment="1">
      <alignment horizontal="center" vertical="top" wrapText="1" shrinkToFit="1"/>
    </xf>
    <xf numFmtId="49" fontId="8" fillId="0" borderId="11" xfId="0" applyNumberFormat="1" applyFont="1" applyBorder="1" applyAlignment="1">
      <alignment horizontal="left" vertical="top" wrapText="1"/>
    </xf>
    <xf numFmtId="49" fontId="6" fillId="5" borderId="64" xfId="0" applyNumberFormat="1" applyFont="1" applyFill="1" applyBorder="1" applyAlignment="1">
      <alignment horizontal="center" vertical="top" wrapText="1" shrinkToFit="1"/>
    </xf>
    <xf numFmtId="49" fontId="6" fillId="5" borderId="65" xfId="0" applyNumberFormat="1" applyFont="1" applyFill="1" applyBorder="1" applyAlignment="1">
      <alignment horizontal="center" vertical="top" wrapText="1" shrinkToFit="1"/>
    </xf>
    <xf numFmtId="49" fontId="7" fillId="5" borderId="65" xfId="0" applyNumberFormat="1" applyFont="1" applyFill="1" applyBorder="1" applyAlignment="1">
      <alignment horizontal="center" vertical="top" wrapText="1" shrinkToFit="1"/>
    </xf>
    <xf numFmtId="4" fontId="8" fillId="0" borderId="41" xfId="0" applyNumberFormat="1" applyFont="1" applyFill="1" applyBorder="1" applyAlignment="1">
      <alignment horizontal="right" vertical="top" wrapText="1"/>
    </xf>
    <xf numFmtId="4" fontId="8" fillId="0" borderId="40" xfId="0" applyNumberFormat="1" applyFont="1" applyBorder="1" applyAlignment="1">
      <alignment horizontal="right" vertical="top" wrapText="1"/>
    </xf>
    <xf numFmtId="4" fontId="8" fillId="0" borderId="42" xfId="0" applyNumberFormat="1" applyFont="1" applyBorder="1" applyAlignment="1">
      <alignment horizontal="righ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4" fontId="4" fillId="6" borderId="5" xfId="0" applyNumberFormat="1" applyFont="1" applyFill="1" applyBorder="1" applyAlignment="1">
      <alignment horizontal="right" vertical="top"/>
    </xf>
    <xf numFmtId="4" fontId="8" fillId="5" borderId="41" xfId="0" applyNumberFormat="1" applyFont="1" applyFill="1" applyBorder="1" applyAlignment="1">
      <alignment horizontal="right" vertical="top" wrapText="1" shrinkToFit="1"/>
    </xf>
    <xf numFmtId="4" fontId="8" fillId="5" borderId="66" xfId="0" applyNumberFormat="1" applyFont="1" applyFill="1" applyBorder="1" applyAlignment="1">
      <alignment horizontal="right" vertical="top" wrapText="1" shrinkToFit="1"/>
    </xf>
    <xf numFmtId="4" fontId="8" fillId="5" borderId="42" xfId="0" applyNumberFormat="1" applyFont="1" applyFill="1" applyBorder="1" applyAlignment="1">
      <alignment horizontal="right" vertical="top" wrapText="1" shrinkToFit="1"/>
    </xf>
    <xf numFmtId="0" fontId="8" fillId="0" borderId="17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4" fontId="8" fillId="5" borderId="40" xfId="0" applyNumberFormat="1" applyFont="1" applyFill="1" applyBorder="1" applyAlignment="1">
      <alignment horizontal="right" vertical="top" wrapText="1" shrinkToFit="1"/>
    </xf>
    <xf numFmtId="4" fontId="8" fillId="0" borderId="35" xfId="0" applyNumberFormat="1" applyFont="1" applyBorder="1" applyAlignment="1">
      <alignment horizontal="right" vertical="top" wrapText="1"/>
    </xf>
    <xf numFmtId="4" fontId="8" fillId="0" borderId="20" xfId="0" applyNumberFormat="1" applyFont="1" applyBorder="1" applyAlignment="1">
      <alignment vertical="top" wrapText="1"/>
    </xf>
    <xf numFmtId="0" fontId="8" fillId="0" borderId="16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8" fillId="0" borderId="68" xfId="0" applyNumberFormat="1" applyFont="1" applyFill="1" applyBorder="1" applyAlignment="1">
      <alignment horizontal="right" vertical="top" wrapText="1"/>
    </xf>
    <xf numFmtId="4" fontId="8" fillId="0" borderId="15" xfId="0" applyNumberFormat="1" applyFont="1" applyFill="1" applyBorder="1" applyAlignment="1">
      <alignment horizontal="right" vertical="top" wrapText="1"/>
    </xf>
    <xf numFmtId="0" fontId="8" fillId="0" borderId="24" xfId="0" applyFont="1" applyFill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vertical="top" wrapText="1"/>
    </xf>
    <xf numFmtId="4" fontId="4" fillId="2" borderId="14" xfId="0" applyNumberFormat="1" applyFont="1" applyFill="1" applyBorder="1" applyAlignment="1">
      <alignment vertical="top"/>
    </xf>
    <xf numFmtId="0" fontId="12" fillId="0" borderId="0" xfId="0" applyFont="1" applyBorder="1" applyAlignment="1">
      <alignment horizontal="center"/>
    </xf>
    <xf numFmtId="4" fontId="4" fillId="0" borderId="37" xfId="0" applyNumberFormat="1" applyFont="1" applyBorder="1" applyAlignment="1">
      <alignment vertical="top"/>
    </xf>
    <xf numFmtId="4" fontId="4" fillId="2" borderId="15" xfId="0" applyNumberFormat="1" applyFont="1" applyFill="1" applyBorder="1" applyAlignment="1">
      <alignment horizontal="right" vertical="top"/>
    </xf>
    <xf numFmtId="4" fontId="4" fillId="2" borderId="15" xfId="0" applyNumberFormat="1" applyFont="1" applyFill="1" applyBorder="1" applyAlignment="1">
      <alignment vertical="top"/>
    </xf>
    <xf numFmtId="49" fontId="7" fillId="6" borderId="17" xfId="0" applyNumberFormat="1" applyFont="1" applyFill="1" applyBorder="1" applyAlignment="1">
      <alignment horizontal="right" vertical="top" wrapText="1"/>
    </xf>
    <xf numFmtId="49" fontId="7" fillId="2" borderId="20" xfId="0" applyNumberFormat="1" applyFont="1" applyFill="1" applyBorder="1" applyAlignment="1">
      <alignment horizontal="right" vertical="top" wrapText="1"/>
    </xf>
    <xf numFmtId="4" fontId="4" fillId="2" borderId="47" xfId="0" applyNumberFormat="1" applyFont="1" applyFill="1" applyBorder="1" applyAlignment="1">
      <alignment horizontal="right" vertical="top"/>
    </xf>
    <xf numFmtId="4" fontId="4" fillId="2" borderId="40" xfId="0" applyNumberFormat="1" applyFont="1" applyFill="1" applyBorder="1" applyAlignment="1">
      <alignment horizontal="right" vertical="top"/>
    </xf>
    <xf numFmtId="4" fontId="4" fillId="2" borderId="20" xfId="0" applyNumberFormat="1" applyFont="1" applyFill="1" applyBorder="1" applyAlignment="1">
      <alignment vertical="top"/>
    </xf>
    <xf numFmtId="49" fontId="7" fillId="2" borderId="23" xfId="0" applyNumberFormat="1" applyFont="1" applyFill="1" applyBorder="1" applyAlignment="1">
      <alignment horizontal="right" vertical="top" wrapText="1"/>
    </xf>
    <xf numFmtId="4" fontId="4" fillId="2" borderId="49" xfId="0" applyNumberFormat="1" applyFont="1" applyFill="1" applyBorder="1" applyAlignment="1">
      <alignment horizontal="right" vertical="top"/>
    </xf>
    <xf numFmtId="4" fontId="4" fillId="2" borderId="66" xfId="0" applyNumberFormat="1" applyFont="1" applyFill="1" applyBorder="1" applyAlignment="1">
      <alignment horizontal="right" vertical="top"/>
    </xf>
    <xf numFmtId="4" fontId="4" fillId="2" borderId="36" xfId="0" applyNumberFormat="1" applyFont="1" applyFill="1" applyBorder="1" applyAlignment="1">
      <alignment vertical="top"/>
    </xf>
    <xf numFmtId="4" fontId="4" fillId="0" borderId="4" xfId="0" applyNumberFormat="1" applyFont="1" applyBorder="1" applyAlignment="1">
      <alignment horizontal="right" vertical="top"/>
    </xf>
    <xf numFmtId="4" fontId="4" fillId="2" borderId="28" xfId="0" applyNumberFormat="1" applyFont="1" applyFill="1" applyBorder="1" applyAlignment="1">
      <alignment vertical="top"/>
    </xf>
    <xf numFmtId="4" fontId="4" fillId="2" borderId="16" xfId="0" applyNumberFormat="1" applyFont="1" applyFill="1" applyBorder="1" applyAlignment="1">
      <alignment vertical="top"/>
    </xf>
    <xf numFmtId="4" fontId="4" fillId="2" borderId="24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9" fontId="7" fillId="2" borderId="28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/>
    </xf>
    <xf numFmtId="4" fontId="4" fillId="2" borderId="25" xfId="0" applyNumberFormat="1" applyFont="1" applyFill="1" applyBorder="1" applyAlignment="1">
      <alignment vertical="top"/>
    </xf>
    <xf numFmtId="49" fontId="7" fillId="2" borderId="17" xfId="0" applyNumberFormat="1" applyFont="1" applyFill="1" applyBorder="1" applyAlignment="1">
      <alignment horizontal="right" vertical="top" wrapText="1"/>
    </xf>
    <xf numFmtId="49" fontId="7" fillId="2" borderId="16" xfId="0" applyNumberFormat="1" applyFont="1" applyFill="1" applyBorder="1" applyAlignment="1">
      <alignment horizontal="left" vertical="top" wrapText="1" shrinkToFit="1"/>
    </xf>
    <xf numFmtId="0" fontId="7" fillId="2" borderId="24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vertical="top"/>
    </xf>
    <xf numFmtId="0" fontId="7" fillId="0" borderId="25" xfId="0" applyFont="1" applyBorder="1" applyAlignment="1">
      <alignment horizontal="center" vertical="top" wrapText="1"/>
    </xf>
    <xf numFmtId="4" fontId="7" fillId="0" borderId="16" xfId="0" applyNumberFormat="1" applyFont="1" applyFill="1" applyBorder="1" applyAlignment="1">
      <alignment vertical="top"/>
    </xf>
    <xf numFmtId="0" fontId="7" fillId="0" borderId="23" xfId="0" applyFont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vertical="top"/>
    </xf>
    <xf numFmtId="4" fontId="4" fillId="3" borderId="17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4" fillId="0" borderId="24" xfId="0" applyFont="1" applyFill="1" applyBorder="1" applyAlignment="1">
      <alignment horizontal="center" vertical="top" wrapText="1"/>
    </xf>
    <xf numFmtId="1" fontId="7" fillId="0" borderId="22" xfId="0" applyNumberFormat="1" applyFont="1" applyBorder="1" applyAlignment="1">
      <alignment horizontal="center" vertical="top" wrapText="1"/>
    </xf>
    <xf numFmtId="1" fontId="11" fillId="0" borderId="22" xfId="0" applyNumberFormat="1" applyFont="1" applyBorder="1" applyAlignment="1">
      <alignment horizontal="center" vertical="top" wrapText="1"/>
    </xf>
    <xf numFmtId="4" fontId="7" fillId="2" borderId="15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horizontal="right" vertical="top"/>
    </xf>
    <xf numFmtId="4" fontId="7" fillId="2" borderId="66" xfId="0" applyNumberFormat="1" applyFont="1" applyFill="1" applyBorder="1" applyAlignment="1">
      <alignment horizontal="right" vertical="top"/>
    </xf>
    <xf numFmtId="4" fontId="7" fillId="0" borderId="5" xfId="0" applyNumberFormat="1" applyFont="1" applyBorder="1" applyAlignment="1">
      <alignment horizontal="right" vertical="top"/>
    </xf>
    <xf numFmtId="4" fontId="8" fillId="0" borderId="3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8" fillId="0" borderId="2" xfId="0" applyNumberFormat="1" applyFont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" fontId="7" fillId="2" borderId="14" xfId="0" applyNumberFormat="1" applyFont="1" applyFill="1" applyBorder="1" applyAlignment="1">
      <alignment vertical="top"/>
    </xf>
    <xf numFmtId="4" fontId="8" fillId="0" borderId="5" xfId="0" applyNumberFormat="1" applyFont="1" applyBorder="1" applyAlignment="1">
      <alignment vertical="top"/>
    </xf>
    <xf numFmtId="4" fontId="7" fillId="0" borderId="5" xfId="0" applyNumberFormat="1" applyFont="1" applyBorder="1" applyAlignment="1">
      <alignment vertical="top"/>
    </xf>
    <xf numFmtId="4" fontId="8" fillId="0" borderId="18" xfId="0" applyNumberFormat="1" applyFont="1" applyBorder="1" applyAlignment="1">
      <alignment vertical="top"/>
    </xf>
    <xf numFmtId="4" fontId="8" fillId="0" borderId="6" xfId="0" applyNumberFormat="1" applyFont="1" applyBorder="1" applyAlignment="1">
      <alignment vertical="top"/>
    </xf>
    <xf numFmtId="4" fontId="8" fillId="0" borderId="8" xfId="0" applyNumberFormat="1" applyFont="1" applyBorder="1" applyAlignment="1">
      <alignment vertical="top"/>
    </xf>
    <xf numFmtId="4" fontId="7" fillId="2" borderId="8" xfId="0" applyNumberFormat="1" applyFont="1" applyFill="1" applyBorder="1" applyAlignment="1">
      <alignment vertical="top"/>
    </xf>
    <xf numFmtId="4" fontId="7" fillId="2" borderId="2" xfId="0" applyNumberFormat="1" applyFont="1" applyFill="1" applyBorder="1" applyAlignment="1">
      <alignment vertical="top"/>
    </xf>
    <xf numFmtId="4" fontId="7" fillId="2" borderId="6" xfId="0" applyNumberFormat="1" applyFont="1" applyFill="1" applyBorder="1" applyAlignment="1">
      <alignment vertical="top"/>
    </xf>
    <xf numFmtId="4" fontId="7" fillId="2" borderId="18" xfId="0" applyNumberFormat="1" applyFont="1" applyFill="1" applyBorder="1" applyAlignment="1">
      <alignment vertical="top"/>
    </xf>
    <xf numFmtId="4" fontId="8" fillId="0" borderId="14" xfId="0" applyNumberFormat="1" applyFont="1" applyBorder="1" applyAlignment="1">
      <alignment vertical="top"/>
    </xf>
    <xf numFmtId="4" fontId="7" fillId="0" borderId="18" xfId="0" applyNumberFormat="1" applyFont="1" applyBorder="1" applyAlignment="1">
      <alignment vertical="top"/>
    </xf>
    <xf numFmtId="4" fontId="7" fillId="0" borderId="5" xfId="0" applyNumberFormat="1" applyFont="1" applyFill="1" applyBorder="1" applyAlignment="1">
      <alignment vertical="top"/>
    </xf>
    <xf numFmtId="4" fontId="8" fillId="0" borderId="8" xfId="0" applyNumberFormat="1" applyFont="1" applyFill="1" applyBorder="1" applyAlignment="1">
      <alignment vertical="top"/>
    </xf>
    <xf numFmtId="4" fontId="7" fillId="0" borderId="22" xfId="0" applyNumberFormat="1" applyFont="1" applyBorder="1" applyAlignment="1">
      <alignment vertical="top"/>
    </xf>
    <xf numFmtId="4" fontId="7" fillId="4" borderId="22" xfId="0" applyNumberFormat="1" applyFont="1" applyFill="1" applyBorder="1" applyAlignment="1">
      <alignment vertical="top" wrapText="1"/>
    </xf>
    <xf numFmtId="4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12" fillId="0" borderId="0" xfId="0" applyFont="1" applyAlignment="1">
      <alignment vertical="top" wrapText="1"/>
    </xf>
    <xf numFmtId="2" fontId="0" fillId="0" borderId="0" xfId="0" applyNumberFormat="1" applyFont="1" applyAlignment="1">
      <alignment vertical="top"/>
    </xf>
    <xf numFmtId="2" fontId="12" fillId="0" borderId="0" xfId="0" applyNumberFormat="1" applyFont="1" applyBorder="1" applyAlignment="1">
      <alignment horizontal="center" vertical="top"/>
    </xf>
    <xf numFmtId="2" fontId="8" fillId="5" borderId="11" xfId="0" applyNumberFormat="1" applyFont="1" applyFill="1" applyBorder="1" applyAlignment="1">
      <alignment horizontal="left" vertical="top" wrapText="1" shrinkToFit="1"/>
    </xf>
    <xf numFmtId="4" fontId="1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16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2" fillId="0" borderId="0" xfId="0" applyFont="1" applyBorder="1" applyAlignment="1">
      <alignment horizontal="center" vertical="top"/>
    </xf>
    <xf numFmtId="0" fontId="13" fillId="0" borderId="0" xfId="0" applyFont="1"/>
    <xf numFmtId="0" fontId="0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4" fontId="1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16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5" xfId="0" applyNumberFormat="1" applyFont="1" applyFill="1" applyBorder="1" applyAlignment="1">
      <alignment vertical="top"/>
    </xf>
    <xf numFmtId="0" fontId="4" fillId="3" borderId="17" xfId="0" applyFont="1" applyFill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vertical="top" wrapText="1"/>
    </xf>
    <xf numFmtId="4" fontId="7" fillId="3" borderId="35" xfId="0" applyNumberFormat="1" applyFont="1" applyFill="1" applyBorder="1" applyAlignment="1">
      <alignment vertical="top" wrapText="1"/>
    </xf>
    <xf numFmtId="4" fontId="7" fillId="3" borderId="14" xfId="0" applyNumberFormat="1" applyFont="1" applyFill="1" applyBorder="1" applyAlignment="1">
      <alignment vertical="top" wrapText="1"/>
    </xf>
    <xf numFmtId="4" fontId="8" fillId="0" borderId="62" xfId="0" applyNumberFormat="1" applyFont="1" applyBorder="1" applyAlignment="1">
      <alignment horizontal="right" vertical="top" wrapText="1"/>
    </xf>
    <xf numFmtId="0" fontId="4" fillId="2" borderId="54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vertical="top" wrapText="1"/>
    </xf>
    <xf numFmtId="0" fontId="4" fillId="0" borderId="23" xfId="0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16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 vertical="top" wrapText="1"/>
    </xf>
    <xf numFmtId="49" fontId="7" fillId="6" borderId="24" xfId="0" applyNumberFormat="1" applyFont="1" applyFill="1" applyBorder="1" applyAlignment="1">
      <alignment horizontal="right" vertical="top" wrapText="1"/>
    </xf>
    <xf numFmtId="49" fontId="8" fillId="6" borderId="17" xfId="0" applyNumberFormat="1" applyFont="1" applyFill="1" applyBorder="1" applyAlignment="1">
      <alignment horizontal="right" vertical="top" wrapText="1"/>
    </xf>
    <xf numFmtId="4" fontId="3" fillId="6" borderId="4" xfId="0" applyNumberFormat="1" applyFont="1" applyFill="1" applyBorder="1" applyAlignment="1">
      <alignment horizontal="right" vertical="top"/>
    </xf>
    <xf numFmtId="49" fontId="8" fillId="6" borderId="12" xfId="0" applyNumberFormat="1" applyFont="1" applyFill="1" applyBorder="1" applyAlignment="1">
      <alignment horizontal="right" vertical="top" wrapText="1"/>
    </xf>
    <xf numFmtId="49" fontId="8" fillId="6" borderId="24" xfId="0" applyNumberFormat="1" applyFont="1" applyFill="1" applyBorder="1" applyAlignment="1">
      <alignment horizontal="right" vertical="top" wrapText="1"/>
    </xf>
    <xf numFmtId="4" fontId="3" fillId="6" borderId="43" xfId="0" applyNumberFormat="1" applyFont="1" applyFill="1" applyBorder="1" applyAlignment="1">
      <alignment horizontal="right" vertical="top"/>
    </xf>
    <xf numFmtId="4" fontId="3" fillId="6" borderId="5" xfId="0" applyNumberFormat="1" applyFont="1" applyFill="1" applyBorder="1" applyAlignment="1">
      <alignment horizontal="right" vertical="top"/>
    </xf>
    <xf numFmtId="4" fontId="3" fillId="6" borderId="15" xfId="0" applyNumberFormat="1" applyFont="1" applyFill="1" applyBorder="1" applyAlignment="1">
      <alignment horizontal="right" vertical="top"/>
    </xf>
    <xf numFmtId="0" fontId="14" fillId="0" borderId="0" xfId="0" applyFon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15" fillId="0" borderId="0" xfId="0" applyFont="1" applyAlignment="1">
      <alignment vertical="top"/>
    </xf>
    <xf numFmtId="2" fontId="15" fillId="0" borderId="0" xfId="0" applyNumberFormat="1" applyFont="1" applyAlignment="1">
      <alignment vertical="top"/>
    </xf>
    <xf numFmtId="0" fontId="15" fillId="0" borderId="0" xfId="0" applyFont="1" applyAlignment="1">
      <alignment horizontal="right" vertical="top"/>
    </xf>
    <xf numFmtId="0" fontId="3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6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7" fillId="5" borderId="24" xfId="0" applyFont="1" applyFill="1" applyBorder="1" applyAlignment="1">
      <alignment horizontal="center" vertical="top" wrapText="1"/>
    </xf>
    <xf numFmtId="4" fontId="7" fillId="6" borderId="12" xfId="0" applyNumberFormat="1" applyFont="1" applyFill="1" applyBorder="1" applyAlignment="1">
      <alignment horizontal="left" vertical="top" wrapText="1"/>
    </xf>
    <xf numFmtId="49" fontId="7" fillId="0" borderId="28" xfId="0" applyNumberFormat="1" applyFont="1" applyFill="1" applyBorder="1" applyAlignment="1">
      <alignment horizontal="right" vertical="top" wrapText="1"/>
    </xf>
    <xf numFmtId="49" fontId="8" fillId="0" borderId="20" xfId="0" applyNumberFormat="1" applyFont="1" applyFill="1" applyBorder="1" applyAlignment="1">
      <alignment horizontal="right" vertical="top" wrapText="1"/>
    </xf>
    <xf numFmtId="49" fontId="7" fillId="0" borderId="11" xfId="0" applyNumberFormat="1" applyFont="1" applyFill="1" applyBorder="1" applyAlignment="1">
      <alignment horizontal="right" vertical="top" wrapText="1"/>
    </xf>
    <xf numFmtId="49" fontId="8" fillId="0" borderId="11" xfId="0" applyNumberFormat="1" applyFont="1" applyFill="1" applyBorder="1" applyAlignment="1">
      <alignment horizontal="right" vertical="top" wrapText="1"/>
    </xf>
    <xf numFmtId="49" fontId="8" fillId="0" borderId="23" xfId="0" applyNumberFormat="1" applyFont="1" applyFill="1" applyBorder="1" applyAlignment="1">
      <alignment horizontal="right" vertical="top" wrapText="1"/>
    </xf>
    <xf numFmtId="0" fontId="7" fillId="5" borderId="24" xfId="0" applyNumberFormat="1" applyFont="1" applyFill="1" applyBorder="1" applyAlignment="1">
      <alignment horizontal="center" vertical="top" wrapText="1"/>
    </xf>
    <xf numFmtId="0" fontId="11" fillId="0" borderId="12" xfId="0" applyNumberFormat="1" applyFont="1" applyBorder="1" applyAlignment="1">
      <alignment horizontal="center" vertical="top" wrapText="1"/>
    </xf>
    <xf numFmtId="4" fontId="4" fillId="6" borderId="12" xfId="0" applyNumberFormat="1" applyFont="1" applyFill="1" applyBorder="1" applyAlignment="1">
      <alignment horizontal="right" vertical="top"/>
    </xf>
    <xf numFmtId="4" fontId="4" fillId="0" borderId="28" xfId="0" applyNumberFormat="1" applyFont="1" applyFill="1" applyBorder="1" applyAlignment="1">
      <alignment horizontal="right" vertical="top"/>
    </xf>
    <xf numFmtId="4" fontId="3" fillId="0" borderId="20" xfId="0" applyNumberFormat="1" applyFont="1" applyFill="1" applyBorder="1" applyAlignment="1">
      <alignment horizontal="right" vertical="top"/>
    </xf>
    <xf numFmtId="4" fontId="4" fillId="0" borderId="11" xfId="0" applyNumberFormat="1" applyFont="1" applyFill="1" applyBorder="1" applyAlignment="1">
      <alignment horizontal="right" vertical="top"/>
    </xf>
    <xf numFmtId="4" fontId="3" fillId="0" borderId="11" xfId="0" applyNumberFormat="1" applyFont="1" applyFill="1" applyBorder="1" applyAlignment="1">
      <alignment horizontal="right" vertical="top"/>
    </xf>
    <xf numFmtId="4" fontId="3" fillId="0" borderId="23" xfId="0" applyNumberFormat="1" applyFont="1" applyFill="1" applyBorder="1" applyAlignment="1">
      <alignment horizontal="right" vertical="top"/>
    </xf>
    <xf numFmtId="1" fontId="7" fillId="0" borderId="24" xfId="0" applyNumberFormat="1" applyFont="1" applyBorder="1" applyAlignment="1">
      <alignment horizontal="center" vertical="top" wrapText="1"/>
    </xf>
    <xf numFmtId="1" fontId="4" fillId="0" borderId="2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4" fontId="3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top" wrapText="1"/>
    </xf>
    <xf numFmtId="0" fontId="0" fillId="0" borderId="0" xfId="0" applyBorder="1"/>
    <xf numFmtId="4" fontId="8" fillId="0" borderId="47" xfId="0" applyNumberFormat="1" applyFont="1" applyBorder="1" applyAlignment="1">
      <alignment vertical="top" wrapText="1"/>
    </xf>
    <xf numFmtId="4" fontId="8" fillId="0" borderId="51" xfId="0" applyNumberFormat="1" applyFont="1" applyBorder="1" applyAlignment="1">
      <alignment vertical="top" wrapText="1"/>
    </xf>
    <xf numFmtId="4" fontId="8" fillId="0" borderId="0" xfId="0" applyNumberFormat="1" applyFont="1" applyAlignment="1">
      <alignment vertical="top" wrapText="1"/>
    </xf>
    <xf numFmtId="4" fontId="7" fillId="0" borderId="0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 vertical="top" wrapText="1"/>
    </xf>
    <xf numFmtId="4" fontId="8" fillId="0" borderId="49" xfId="0" applyNumberFormat="1" applyFont="1" applyBorder="1" applyAlignment="1">
      <alignment vertical="top" wrapText="1"/>
    </xf>
    <xf numFmtId="4" fontId="8" fillId="0" borderId="34" xfId="0" applyNumberFormat="1" applyFont="1" applyBorder="1" applyAlignment="1">
      <alignment vertical="top" wrapText="1"/>
    </xf>
    <xf numFmtId="4" fontId="8" fillId="0" borderId="0" xfId="0" applyNumberFormat="1" applyFont="1" applyBorder="1" applyAlignment="1">
      <alignment vertical="top" wrapText="1"/>
    </xf>
    <xf numFmtId="4" fontId="8" fillId="0" borderId="57" xfId="0" applyNumberFormat="1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vertical="top" wrapText="1"/>
    </xf>
    <xf numFmtId="4" fontId="8" fillId="0" borderId="14" xfId="0" applyNumberFormat="1" applyFont="1" applyBorder="1" applyAlignment="1">
      <alignment vertical="top" wrapText="1"/>
    </xf>
    <xf numFmtId="4" fontId="8" fillId="0" borderId="35" xfId="0" applyNumberFormat="1" applyFont="1" applyBorder="1" applyAlignment="1">
      <alignment vertical="top" wrapText="1"/>
    </xf>
    <xf numFmtId="4" fontId="8" fillId="0" borderId="0" xfId="0" applyNumberFormat="1" applyFont="1" applyBorder="1" applyAlignment="1">
      <alignment horizontal="left" vertical="top" wrapText="1"/>
    </xf>
    <xf numFmtId="4" fontId="8" fillId="0" borderId="34" xfId="0" applyNumberFormat="1" applyFont="1" applyFill="1" applyBorder="1" applyAlignment="1">
      <alignment vertical="top" wrapText="1"/>
    </xf>
    <xf numFmtId="4" fontId="7" fillId="0" borderId="19" xfId="0" applyNumberFormat="1" applyFont="1" applyBorder="1" applyAlignment="1">
      <alignment horizontal="center" vertical="top" wrapText="1"/>
    </xf>
    <xf numFmtId="4" fontId="8" fillId="0" borderId="48" xfId="0" applyNumberFormat="1" applyFont="1" applyBorder="1" applyAlignment="1">
      <alignment vertical="top" wrapText="1"/>
    </xf>
    <xf numFmtId="4" fontId="8" fillId="0" borderId="50" xfId="0" applyNumberFormat="1" applyFont="1" applyBorder="1" applyAlignment="1">
      <alignment vertical="top" wrapText="1"/>
    </xf>
    <xf numFmtId="4" fontId="8" fillId="0" borderId="78" xfId="0" applyNumberFormat="1" applyFont="1" applyBorder="1" applyAlignment="1">
      <alignment vertical="top" wrapText="1"/>
    </xf>
    <xf numFmtId="4" fontId="7" fillId="2" borderId="29" xfId="0" applyNumberFormat="1" applyFont="1" applyFill="1" applyBorder="1" applyAlignment="1">
      <alignment vertical="top" wrapText="1"/>
    </xf>
    <xf numFmtId="4" fontId="7" fillId="2" borderId="10" xfId="0" applyNumberFormat="1" applyFont="1" applyFill="1" applyBorder="1" applyAlignment="1">
      <alignment vertical="top" wrapText="1"/>
    </xf>
    <xf numFmtId="4" fontId="7" fillId="2" borderId="13" xfId="0" applyNumberFormat="1" applyFont="1" applyFill="1" applyBorder="1" applyAlignment="1">
      <alignment vertical="top" wrapText="1"/>
    </xf>
    <xf numFmtId="4" fontId="8" fillId="0" borderId="10" xfId="0" applyNumberFormat="1" applyFont="1" applyBorder="1" applyAlignment="1">
      <alignment vertical="top" wrapText="1"/>
    </xf>
    <xf numFmtId="4" fontId="8" fillId="0" borderId="13" xfId="0" applyNumberFormat="1" applyFont="1" applyBorder="1" applyAlignment="1">
      <alignment vertical="top" wrapText="1"/>
    </xf>
    <xf numFmtId="4" fontId="8" fillId="0" borderId="30" xfId="0" applyNumberFormat="1" applyFont="1" applyBorder="1" applyAlignment="1">
      <alignment vertical="top" wrapText="1"/>
    </xf>
    <xf numFmtId="4" fontId="8" fillId="0" borderId="78" xfId="0" applyNumberFormat="1" applyFont="1" applyFill="1" applyBorder="1" applyAlignment="1">
      <alignment vertical="top" wrapText="1"/>
    </xf>
    <xf numFmtId="4" fontId="7" fillId="0" borderId="46" xfId="0" applyNumberFormat="1" applyFont="1" applyFill="1" applyBorder="1" applyAlignment="1">
      <alignment vertical="top" wrapText="1"/>
    </xf>
    <xf numFmtId="3" fontId="7" fillId="0" borderId="5" xfId="0" applyNumberFormat="1" applyFont="1" applyBorder="1" applyAlignment="1">
      <alignment horizontal="center" vertical="top" wrapText="1"/>
    </xf>
    <xf numFmtId="3" fontId="7" fillId="0" borderId="19" xfId="0" applyNumberFormat="1" applyFont="1" applyBorder="1" applyAlignment="1">
      <alignment horizontal="center" vertical="top" wrapText="1"/>
    </xf>
    <xf numFmtId="4" fontId="7" fillId="0" borderId="46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4" fontId="7" fillId="0" borderId="29" xfId="0" applyNumberFormat="1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4" fontId="7" fillId="0" borderId="67" xfId="0" applyNumberFormat="1" applyFont="1" applyBorder="1" applyAlignment="1">
      <alignment vertical="top" wrapText="1"/>
    </xf>
    <xf numFmtId="4" fontId="7" fillId="0" borderId="79" xfId="0" applyNumberFormat="1" applyFont="1" applyFill="1" applyBorder="1" applyAlignment="1">
      <alignment vertical="top" wrapText="1"/>
    </xf>
    <xf numFmtId="4" fontId="7" fillId="0" borderId="79" xfId="0" applyNumberFormat="1" applyFont="1" applyBorder="1" applyAlignment="1">
      <alignment vertical="top" wrapText="1"/>
    </xf>
    <xf numFmtId="4" fontId="8" fillId="0" borderId="65" xfId="0" applyNumberFormat="1" applyFont="1" applyBorder="1" applyAlignment="1">
      <alignment vertical="top" wrapText="1"/>
    </xf>
    <xf numFmtId="4" fontId="8" fillId="0" borderId="80" xfId="0" applyNumberFormat="1" applyFont="1" applyBorder="1" applyAlignment="1">
      <alignment vertical="top" wrapText="1"/>
    </xf>
    <xf numFmtId="4" fontId="8" fillId="0" borderId="55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right" vertical="top" wrapText="1"/>
    </xf>
    <xf numFmtId="4" fontId="7" fillId="0" borderId="5" xfId="0" applyNumberFormat="1" applyFont="1" applyBorder="1" applyAlignment="1">
      <alignment horizontal="right" vertical="top" wrapText="1"/>
    </xf>
    <xf numFmtId="4" fontId="7" fillId="0" borderId="22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vertical="top"/>
    </xf>
    <xf numFmtId="4" fontId="7" fillId="0" borderId="45" xfId="0" applyNumberFormat="1" applyFont="1" applyBorder="1" applyAlignment="1">
      <alignment vertical="top" wrapText="1"/>
    </xf>
    <xf numFmtId="4" fontId="7" fillId="2" borderId="45" xfId="0" applyNumberFormat="1" applyFont="1" applyFill="1" applyBorder="1" applyAlignment="1">
      <alignment vertical="top" wrapText="1"/>
    </xf>
    <xf numFmtId="4" fontId="7" fillId="2" borderId="47" xfId="0" applyNumberFormat="1" applyFont="1" applyFill="1" applyBorder="1" applyAlignment="1">
      <alignment vertical="top" wrapText="1"/>
    </xf>
    <xf numFmtId="4" fontId="7" fillId="2" borderId="49" xfId="0" applyNumberFormat="1" applyFont="1" applyFill="1" applyBorder="1" applyAlignment="1">
      <alignment vertical="top" wrapText="1"/>
    </xf>
    <xf numFmtId="4" fontId="7" fillId="0" borderId="47" xfId="0" applyNumberFormat="1" applyFont="1" applyBorder="1" applyAlignment="1">
      <alignment vertical="top" wrapText="1"/>
    </xf>
    <xf numFmtId="4" fontId="7" fillId="0" borderId="49" xfId="0" applyNumberFormat="1" applyFont="1" applyBorder="1" applyAlignment="1">
      <alignment vertical="top" wrapText="1"/>
    </xf>
    <xf numFmtId="4" fontId="8" fillId="2" borderId="51" xfId="0" applyNumberFormat="1" applyFont="1" applyFill="1" applyBorder="1" applyAlignment="1">
      <alignment vertical="top" wrapText="1"/>
    </xf>
    <xf numFmtId="4" fontId="8" fillId="2" borderId="49" xfId="0" applyNumberFormat="1" applyFont="1" applyFill="1" applyBorder="1" applyAlignment="1">
      <alignment vertical="top" wrapText="1"/>
    </xf>
    <xf numFmtId="4" fontId="7" fillId="2" borderId="51" xfId="0" applyNumberFormat="1" applyFont="1" applyFill="1" applyBorder="1" applyAlignment="1">
      <alignment vertical="top" wrapText="1"/>
    </xf>
    <xf numFmtId="4" fontId="7" fillId="2" borderId="34" xfId="0" applyNumberFormat="1" applyFont="1" applyFill="1" applyBorder="1" applyAlignment="1">
      <alignment vertical="top" wrapText="1"/>
    </xf>
    <xf numFmtId="4" fontId="7" fillId="0" borderId="45" xfId="0" applyNumberFormat="1" applyFont="1" applyFill="1" applyBorder="1" applyAlignment="1">
      <alignment vertical="top" wrapText="1"/>
    </xf>
    <xf numFmtId="0" fontId="16" fillId="0" borderId="0" xfId="0" applyFont="1" applyAlignment="1">
      <alignment vertical="top" wrapText="1"/>
    </xf>
    <xf numFmtId="49" fontId="17" fillId="0" borderId="1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horizontal="center" vertical="top" wrapText="1"/>
    </xf>
    <xf numFmtId="49" fontId="17" fillId="0" borderId="2" xfId="0" applyNumberFormat="1" applyFont="1" applyBorder="1" applyAlignment="1">
      <alignment horizontal="center" vertical="top" wrapText="1"/>
    </xf>
    <xf numFmtId="0" fontId="17" fillId="0" borderId="45" xfId="0" applyFont="1" applyBorder="1" applyAlignment="1">
      <alignment vertical="top" wrapText="1"/>
    </xf>
    <xf numFmtId="49" fontId="17" fillId="0" borderId="8" xfId="0" applyNumberFormat="1" applyFont="1" applyBorder="1" applyAlignment="1">
      <alignment horizontal="center" vertical="top" wrapText="1"/>
    </xf>
    <xf numFmtId="4" fontId="17" fillId="0" borderId="46" xfId="0" applyNumberFormat="1" applyFont="1" applyBorder="1" applyAlignment="1">
      <alignment horizontal="right" vertical="top" wrapText="1"/>
    </xf>
    <xf numFmtId="49" fontId="16" fillId="0" borderId="47" xfId="0" applyNumberFormat="1" applyFont="1" applyBorder="1" applyAlignment="1">
      <alignment vertical="top" wrapText="1"/>
    </xf>
    <xf numFmtId="4" fontId="16" fillId="0" borderId="48" xfId="0" applyNumberFormat="1" applyFont="1" applyBorder="1" applyAlignment="1">
      <alignment horizontal="right" vertical="top" wrapText="1"/>
    </xf>
    <xf numFmtId="0" fontId="17" fillId="0" borderId="49" xfId="0" applyFont="1" applyBorder="1" applyAlignment="1">
      <alignment vertical="top" wrapText="1"/>
    </xf>
    <xf numFmtId="49" fontId="17" fillId="0" borderId="6" xfId="0" applyNumberFormat="1" applyFont="1" applyBorder="1" applyAlignment="1">
      <alignment horizontal="center" vertical="top" wrapText="1"/>
    </xf>
    <xf numFmtId="4" fontId="17" fillId="0" borderId="50" xfId="0" applyNumberFormat="1" applyFont="1" applyBorder="1" applyAlignment="1">
      <alignment horizontal="right" vertical="top" wrapText="1"/>
    </xf>
    <xf numFmtId="0" fontId="16" fillId="0" borderId="47" xfId="0" applyFont="1" applyBorder="1" applyAlignment="1">
      <alignment vertical="top" wrapText="1"/>
    </xf>
    <xf numFmtId="2" fontId="16" fillId="0" borderId="47" xfId="0" applyNumberFormat="1" applyFont="1" applyBorder="1" applyAlignment="1">
      <alignment vertical="top" wrapText="1"/>
    </xf>
    <xf numFmtId="49" fontId="16" fillId="0" borderId="51" xfId="0" applyNumberFormat="1" applyFont="1" applyBorder="1" applyAlignment="1">
      <alignment vertical="top" wrapText="1"/>
    </xf>
    <xf numFmtId="49" fontId="16" fillId="0" borderId="3" xfId="0" applyNumberFormat="1" applyFont="1" applyBorder="1" applyAlignment="1">
      <alignment horizontal="center" vertical="top" wrapText="1"/>
    </xf>
    <xf numFmtId="4" fontId="16" fillId="0" borderId="3" xfId="0" applyNumberFormat="1" applyFont="1" applyBorder="1" applyAlignment="1">
      <alignment horizontal="right" vertical="top" wrapText="1"/>
    </xf>
    <xf numFmtId="4" fontId="16" fillId="0" borderId="31" xfId="0" applyNumberFormat="1" applyFont="1" applyBorder="1" applyAlignment="1">
      <alignment horizontal="right" vertical="top" wrapText="1"/>
    </xf>
    <xf numFmtId="0" fontId="17" fillId="0" borderId="4" xfId="0" applyFont="1" applyBorder="1" applyAlignment="1">
      <alignment vertical="top" wrapText="1"/>
    </xf>
    <xf numFmtId="49" fontId="17" fillId="0" borderId="5" xfId="0" applyNumberFormat="1" applyFont="1" applyBorder="1" applyAlignment="1">
      <alignment horizontal="center" vertical="top" wrapText="1"/>
    </xf>
    <xf numFmtId="4" fontId="17" fillId="0" borderId="5" xfId="0" applyNumberFormat="1" applyFont="1" applyBorder="1" applyAlignment="1">
      <alignment horizontal="right" vertical="top" wrapText="1"/>
    </xf>
    <xf numFmtId="4" fontId="17" fillId="0" borderId="27" xfId="0" applyNumberFormat="1" applyFont="1" applyBorder="1" applyAlignment="1">
      <alignment horizontal="right" vertical="top" wrapText="1"/>
    </xf>
    <xf numFmtId="0" fontId="16" fillId="0" borderId="51" xfId="0" applyFont="1" applyBorder="1" applyAlignment="1">
      <alignment vertical="top" wrapText="1"/>
    </xf>
    <xf numFmtId="2" fontId="16" fillId="0" borderId="51" xfId="0" applyNumberFormat="1" applyFont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49" fontId="17" fillId="2" borderId="5" xfId="0" applyNumberFormat="1" applyFont="1" applyFill="1" applyBorder="1" applyAlignment="1">
      <alignment horizontal="center" vertical="top" wrapText="1"/>
    </xf>
    <xf numFmtId="4" fontId="17" fillId="2" borderId="5" xfId="0" applyNumberFormat="1" applyFont="1" applyFill="1" applyBorder="1" applyAlignment="1">
      <alignment horizontal="right" vertical="top" wrapText="1"/>
    </xf>
    <xf numFmtId="4" fontId="17" fillId="2" borderId="27" xfId="0" applyNumberFormat="1" applyFont="1" applyFill="1" applyBorder="1" applyAlignment="1">
      <alignment horizontal="right" vertical="top" wrapText="1"/>
    </xf>
    <xf numFmtId="49" fontId="17" fillId="0" borderId="18" xfId="0" applyNumberFormat="1" applyFont="1" applyBorder="1" applyAlignment="1">
      <alignment horizontal="center" vertical="top" wrapText="1"/>
    </xf>
    <xf numFmtId="4" fontId="17" fillId="0" borderId="18" xfId="0" applyNumberFormat="1" applyFont="1" applyBorder="1" applyAlignment="1">
      <alignment horizontal="right" vertical="top" wrapText="1"/>
    </xf>
    <xf numFmtId="49" fontId="16" fillId="0" borderId="49" xfId="0" applyNumberFormat="1" applyFont="1" applyBorder="1" applyAlignment="1">
      <alignment vertical="top" wrapText="1"/>
    </xf>
    <xf numFmtId="49" fontId="16" fillId="0" borderId="6" xfId="0" applyNumberFormat="1" applyFont="1" applyBorder="1" applyAlignment="1">
      <alignment horizontal="center" vertical="top" wrapText="1"/>
    </xf>
    <xf numFmtId="4" fontId="16" fillId="0" borderId="6" xfId="0" applyNumberFormat="1" applyFont="1" applyBorder="1" applyAlignment="1">
      <alignment horizontal="right" vertical="top" wrapText="1"/>
    </xf>
    <xf numFmtId="4" fontId="16" fillId="0" borderId="50" xfId="0" applyNumberFormat="1" applyFont="1" applyBorder="1" applyAlignment="1">
      <alignment horizontal="right" vertical="top" wrapText="1"/>
    </xf>
    <xf numFmtId="49" fontId="17" fillId="0" borderId="4" xfId="0" applyNumberFormat="1" applyFont="1" applyBorder="1" applyAlignment="1">
      <alignment vertical="top" wrapText="1"/>
    </xf>
    <xf numFmtId="49" fontId="17" fillId="0" borderId="18" xfId="0" applyNumberFormat="1" applyFont="1" applyBorder="1" applyAlignment="1">
      <alignment vertical="top" wrapText="1"/>
    </xf>
    <xf numFmtId="49" fontId="17" fillId="2" borderId="4" xfId="0" applyNumberFormat="1" applyFont="1" applyFill="1" applyBorder="1" applyAlignment="1">
      <alignment vertical="top" wrapText="1"/>
    </xf>
    <xf numFmtId="49" fontId="17" fillId="0" borderId="43" xfId="0" applyNumberFormat="1" applyFont="1" applyBorder="1" applyAlignment="1">
      <alignment vertical="top" wrapText="1"/>
    </xf>
    <xf numFmtId="49" fontId="17" fillId="0" borderId="15" xfId="0" applyNumberFormat="1" applyFont="1" applyBorder="1" applyAlignment="1">
      <alignment horizontal="center" vertical="top" wrapText="1"/>
    </xf>
    <xf numFmtId="4" fontId="17" fillId="0" borderId="75" xfId="0" applyNumberFormat="1" applyFont="1" applyBorder="1" applyAlignment="1">
      <alignment horizontal="right" vertical="top" wrapText="1"/>
    </xf>
    <xf numFmtId="0" fontId="16" fillId="0" borderId="49" xfId="0" applyFont="1" applyBorder="1" applyAlignment="1">
      <alignment vertical="top" wrapText="1"/>
    </xf>
    <xf numFmtId="0" fontId="16" fillId="0" borderId="44" xfId="0" applyFont="1" applyBorder="1" applyAlignment="1">
      <alignment vertical="top" wrapText="1"/>
    </xf>
    <xf numFmtId="49" fontId="16" fillId="0" borderId="18" xfId="0" applyNumberFormat="1" applyFont="1" applyBorder="1" applyAlignment="1">
      <alignment horizontal="center" vertical="top" wrapText="1"/>
    </xf>
    <xf numFmtId="4" fontId="16" fillId="0" borderId="32" xfId="0" applyNumberFormat="1" applyFont="1" applyBorder="1" applyAlignment="1">
      <alignment horizontal="right" vertical="top" wrapText="1"/>
    </xf>
    <xf numFmtId="0" fontId="17" fillId="7" borderId="4" xfId="0" applyFont="1" applyFill="1" applyBorder="1" applyAlignment="1">
      <alignment vertical="top" wrapText="1"/>
    </xf>
    <xf numFmtId="49" fontId="17" fillId="7" borderId="5" xfId="0" applyNumberFormat="1" applyFont="1" applyFill="1" applyBorder="1" applyAlignment="1">
      <alignment horizontal="center" vertical="top" wrapText="1"/>
    </xf>
    <xf numFmtId="4" fontId="17" fillId="7" borderId="5" xfId="0" applyNumberFormat="1" applyFont="1" applyFill="1" applyBorder="1" applyAlignment="1">
      <alignment horizontal="right" vertical="top" wrapText="1"/>
    </xf>
    <xf numFmtId="0" fontId="17" fillId="8" borderId="4" xfId="0" applyFont="1" applyFill="1" applyBorder="1" applyAlignment="1">
      <alignment vertical="top" wrapText="1"/>
    </xf>
    <xf numFmtId="4" fontId="17" fillId="8" borderId="27" xfId="0" applyNumberFormat="1" applyFont="1" applyFill="1" applyBorder="1" applyAlignment="1">
      <alignment horizontal="right" vertical="top" wrapText="1"/>
    </xf>
    <xf numFmtId="0" fontId="16" fillId="0" borderId="52" xfId="0" applyFont="1" applyBorder="1" applyAlignment="1">
      <alignment vertical="top" wrapText="1"/>
    </xf>
    <xf numFmtId="49" fontId="16" fillId="0" borderId="2" xfId="0" applyNumberFormat="1" applyFont="1" applyBorder="1" applyAlignment="1">
      <alignment horizontal="center" vertical="top" wrapText="1"/>
    </xf>
    <xf numFmtId="4" fontId="16" fillId="0" borderId="2" xfId="0" applyNumberFormat="1" applyFont="1" applyBorder="1" applyAlignment="1">
      <alignment horizontal="right" vertical="top" wrapText="1"/>
    </xf>
    <xf numFmtId="4" fontId="16" fillId="0" borderId="26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 wrapText="1"/>
    </xf>
    <xf numFmtId="4" fontId="16" fillId="0" borderId="0" xfId="0" applyNumberFormat="1" applyFont="1" applyBorder="1" applyAlignment="1">
      <alignment horizontal="right" vertical="top" wrapText="1"/>
    </xf>
    <xf numFmtId="0" fontId="17" fillId="0" borderId="47" xfId="0" applyFont="1" applyBorder="1" applyAlignment="1">
      <alignment vertical="top" wrapText="1"/>
    </xf>
    <xf numFmtId="4" fontId="17" fillId="0" borderId="48" xfId="0" applyNumberFormat="1" applyFont="1" applyBorder="1" applyAlignment="1">
      <alignment horizontal="right" vertical="top" wrapText="1"/>
    </xf>
    <xf numFmtId="4" fontId="13" fillId="0" borderId="0" xfId="0" applyNumberFormat="1" applyFont="1" applyAlignment="1">
      <alignment vertical="top" wrapText="1"/>
    </xf>
    <xf numFmtId="49" fontId="17" fillId="8" borderId="5" xfId="0" applyNumberFormat="1" applyFont="1" applyFill="1" applyBorder="1" applyAlignment="1">
      <alignment horizontal="center" vertical="top" wrapText="1"/>
    </xf>
    <xf numFmtId="4" fontId="16" fillId="0" borderId="47" xfId="0" applyNumberFormat="1" applyFont="1" applyBorder="1" applyAlignment="1">
      <alignment vertical="top" wrapText="1"/>
    </xf>
    <xf numFmtId="4" fontId="17" fillId="0" borderId="0" xfId="0" applyNumberFormat="1" applyFont="1" applyBorder="1" applyAlignment="1">
      <alignment horizontal="right" vertical="top" wrapText="1"/>
    </xf>
    <xf numFmtId="0" fontId="17" fillId="0" borderId="0" xfId="0" applyFont="1" applyBorder="1" applyAlignment="1">
      <alignment vertical="top" wrapText="1"/>
    </xf>
    <xf numFmtId="49" fontId="17" fillId="0" borderId="0" xfId="0" applyNumberFormat="1" applyFont="1" applyBorder="1" applyAlignment="1">
      <alignment horizontal="center" vertical="top" wrapText="1"/>
    </xf>
    <xf numFmtId="0" fontId="17" fillId="8" borderId="34" xfId="0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vertical="top" wrapText="1"/>
    </xf>
    <xf numFmtId="4" fontId="17" fillId="8" borderId="14" xfId="0" applyNumberFormat="1" applyFont="1" applyFill="1" applyBorder="1" applyAlignment="1">
      <alignment horizontal="right" vertical="top" wrapText="1"/>
    </xf>
    <xf numFmtId="49" fontId="16" fillId="0" borderId="52" xfId="0" applyNumberFormat="1" applyFont="1" applyBorder="1" applyAlignment="1">
      <alignment vertical="top" wrapText="1"/>
    </xf>
    <xf numFmtId="4" fontId="8" fillId="0" borderId="63" xfId="0" applyNumberFormat="1" applyFont="1" applyBorder="1" applyAlignment="1">
      <alignment horizontal="right" vertical="top" wrapText="1"/>
    </xf>
    <xf numFmtId="49" fontId="8" fillId="0" borderId="16" xfId="0" applyNumberFormat="1" applyFont="1" applyBorder="1" applyAlignment="1">
      <alignment horizontal="left" vertical="top" wrapText="1"/>
    </xf>
    <xf numFmtId="4" fontId="8" fillId="0" borderId="45" xfId="0" applyNumberFormat="1" applyFont="1" applyBorder="1" applyAlignment="1">
      <alignment horizontal="right" vertical="top" wrapText="1"/>
    </xf>
    <xf numFmtId="4" fontId="8" fillId="0" borderId="60" xfId="0" applyNumberFormat="1" applyFont="1" applyBorder="1" applyAlignment="1">
      <alignment horizontal="right" vertical="top" wrapTex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/>
    </xf>
    <xf numFmtId="49" fontId="8" fillId="0" borderId="28" xfId="0" applyNumberFormat="1" applyFont="1" applyFill="1" applyBorder="1" applyAlignment="1">
      <alignment horizontal="left" vertical="top" wrapText="1"/>
    </xf>
    <xf numFmtId="4" fontId="7" fillId="6" borderId="5" xfId="0" applyNumberFormat="1" applyFont="1" applyFill="1" applyBorder="1" applyAlignment="1">
      <alignment horizontal="right" vertical="top"/>
    </xf>
    <xf numFmtId="4" fontId="8" fillId="6" borderId="5" xfId="0" applyNumberFormat="1" applyFont="1" applyFill="1" applyBorder="1" applyAlignment="1">
      <alignment horizontal="right" vertical="top"/>
    </xf>
    <xf numFmtId="4" fontId="8" fillId="6" borderId="15" xfId="0" applyNumberFormat="1" applyFont="1" applyFill="1" applyBorder="1" applyAlignment="1">
      <alignment horizontal="right" vertical="top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2" fontId="8" fillId="5" borderId="28" xfId="0" applyNumberFormat="1" applyFont="1" applyFill="1" applyBorder="1" applyAlignment="1">
      <alignment horizontal="left" vertical="top" wrapText="1" shrinkToFit="1"/>
    </xf>
    <xf numFmtId="0" fontId="8" fillId="0" borderId="28" xfId="0" applyFont="1" applyBorder="1" applyAlignment="1">
      <alignment vertical="top" wrapText="1"/>
    </xf>
    <xf numFmtId="49" fontId="8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4" fontId="8" fillId="0" borderId="20" xfId="0" applyNumberFormat="1" applyFont="1" applyFill="1" applyBorder="1" applyAlignment="1">
      <alignment vertical="top" wrapText="1"/>
    </xf>
    <xf numFmtId="4" fontId="8" fillId="0" borderId="31" xfId="0" applyNumberFormat="1" applyFont="1" applyBorder="1" applyAlignment="1">
      <alignment vertical="top" wrapText="1"/>
    </xf>
    <xf numFmtId="4" fontId="8" fillId="0" borderId="31" xfId="0" applyNumberFormat="1" applyFont="1" applyFill="1" applyBorder="1" applyAlignment="1">
      <alignment vertical="top" wrapText="1"/>
    </xf>
    <xf numFmtId="4" fontId="8" fillId="0" borderId="64" xfId="0" applyNumberFormat="1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0" fontId="18" fillId="2" borderId="12" xfId="0" applyFont="1" applyFill="1" applyBorder="1" applyAlignment="1">
      <alignment vertical="top" wrapText="1"/>
    </xf>
    <xf numFmtId="0" fontId="18" fillId="2" borderId="12" xfId="0" applyFont="1" applyFill="1" applyBorder="1" applyAlignment="1">
      <alignment horizontal="center" vertical="top" wrapText="1"/>
    </xf>
    <xf numFmtId="4" fontId="18" fillId="2" borderId="22" xfId="0" applyNumberFormat="1" applyFont="1" applyFill="1" applyBorder="1" applyAlignment="1">
      <alignment vertical="top" wrapText="1"/>
    </xf>
    <xf numFmtId="4" fontId="18" fillId="2" borderId="17" xfId="0" applyNumberFormat="1" applyFont="1" applyFill="1" applyBorder="1" applyAlignment="1">
      <alignment vertical="top"/>
    </xf>
    <xf numFmtId="0" fontId="18" fillId="0" borderId="12" xfId="0" applyFont="1" applyFill="1" applyBorder="1" applyAlignment="1">
      <alignment vertical="top" wrapText="1"/>
    </xf>
    <xf numFmtId="0" fontId="18" fillId="0" borderId="12" xfId="0" applyFont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 wrapText="1"/>
    </xf>
    <xf numFmtId="4" fontId="18" fillId="0" borderId="17" xfId="0" applyNumberFormat="1" applyFont="1" applyFill="1" applyBorder="1" applyAlignment="1">
      <alignment vertical="top"/>
    </xf>
    <xf numFmtId="0" fontId="19" fillId="0" borderId="16" xfId="0" applyFont="1" applyBorder="1" applyAlignment="1">
      <alignment vertical="top" wrapText="1"/>
    </xf>
    <xf numFmtId="4" fontId="18" fillId="0" borderId="16" xfId="0" applyNumberFormat="1" applyFont="1" applyFill="1" applyBorder="1" applyAlignment="1">
      <alignment vertical="top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vertical="top" wrapText="1"/>
    </xf>
    <xf numFmtId="0" fontId="19" fillId="0" borderId="17" xfId="0" applyFont="1" applyBorder="1" applyAlignment="1">
      <alignment vertical="top" wrapText="1"/>
    </xf>
    <xf numFmtId="4" fontId="19" fillId="0" borderId="35" xfId="0" applyNumberFormat="1" applyFont="1" applyBorder="1" applyAlignment="1">
      <alignment horizontal="right" vertical="top" wrapText="1"/>
    </xf>
    <xf numFmtId="0" fontId="18" fillId="0" borderId="25" xfId="0" applyFont="1" applyBorder="1" applyAlignment="1">
      <alignment horizontal="center" vertical="top" wrapText="1"/>
    </xf>
    <xf numFmtId="4" fontId="19" fillId="0" borderId="40" xfId="0" applyNumberFormat="1" applyFont="1" applyFill="1" applyBorder="1" applyAlignment="1">
      <alignment horizontal="right" vertical="top" wrapText="1"/>
    </xf>
    <xf numFmtId="4" fontId="19" fillId="0" borderId="57" xfId="0" applyNumberFormat="1" applyFont="1" applyFill="1" applyBorder="1" applyAlignment="1">
      <alignment horizontal="right" vertical="top" wrapText="1"/>
    </xf>
    <xf numFmtId="49" fontId="18" fillId="5" borderId="16" xfId="0" applyNumberFormat="1" applyFont="1" applyFill="1" applyBorder="1" applyAlignment="1">
      <alignment horizontal="center" vertical="top" wrapText="1" shrinkToFit="1"/>
    </xf>
    <xf numFmtId="49" fontId="18" fillId="5" borderId="20" xfId="0" applyNumberFormat="1" applyFont="1" applyFill="1" applyBorder="1" applyAlignment="1">
      <alignment horizontal="center" vertical="top" wrapText="1" shrinkToFit="1"/>
    </xf>
    <xf numFmtId="49" fontId="19" fillId="5" borderId="20" xfId="0" applyNumberFormat="1" applyFont="1" applyFill="1" applyBorder="1" applyAlignment="1">
      <alignment horizontal="left" vertical="top" wrapText="1" shrinkToFit="1"/>
    </xf>
    <xf numFmtId="4" fontId="19" fillId="5" borderId="57" xfId="0" applyNumberFormat="1" applyFont="1" applyFill="1" applyBorder="1" applyAlignment="1">
      <alignment horizontal="right" vertical="top" wrapText="1" shrinkToFit="1"/>
    </xf>
    <xf numFmtId="4" fontId="19" fillId="5" borderId="47" xfId="0" applyNumberFormat="1" applyFont="1" applyFill="1" applyBorder="1" applyAlignment="1">
      <alignment horizontal="right" vertical="top" wrapText="1" shrinkToFit="1"/>
    </xf>
    <xf numFmtId="49" fontId="19" fillId="5" borderId="20" xfId="0" applyNumberFormat="1" applyFont="1" applyFill="1" applyBorder="1" applyAlignment="1">
      <alignment vertical="top" wrapText="1" shrinkToFit="1"/>
    </xf>
    <xf numFmtId="4" fontId="18" fillId="0" borderId="11" xfId="0" applyNumberFormat="1" applyFont="1" applyFill="1" applyBorder="1" applyAlignment="1">
      <alignment vertical="top"/>
    </xf>
    <xf numFmtId="0" fontId="19" fillId="0" borderId="11" xfId="0" applyFont="1" applyFill="1" applyBorder="1" applyAlignment="1">
      <alignment vertical="top" wrapText="1"/>
    </xf>
    <xf numFmtId="4" fontId="19" fillId="0" borderId="52" xfId="0" applyNumberFormat="1" applyFont="1" applyFill="1" applyBorder="1" applyAlignment="1">
      <alignment horizontal="right" vertical="top" wrapText="1"/>
    </xf>
    <xf numFmtId="4" fontId="19" fillId="0" borderId="2" xfId="0" applyNumberFormat="1" applyFont="1" applyFill="1" applyBorder="1" applyAlignment="1">
      <alignment horizontal="right" vertical="top" wrapText="1"/>
    </xf>
    <xf numFmtId="4" fontId="19" fillId="5" borderId="52" xfId="0" applyNumberFormat="1" applyFont="1" applyFill="1" applyBorder="1" applyAlignment="1">
      <alignment horizontal="right" vertical="top" wrapText="1" shrinkToFit="1"/>
    </xf>
    <xf numFmtId="4" fontId="19" fillId="5" borderId="59" xfId="0" applyNumberFormat="1" applyFont="1" applyFill="1" applyBorder="1" applyAlignment="1">
      <alignment horizontal="right" vertical="top" wrapText="1" shrinkToFit="1"/>
    </xf>
    <xf numFmtId="4" fontId="19" fillId="0" borderId="40" xfId="0" applyNumberFormat="1" applyFont="1" applyBorder="1" applyAlignment="1">
      <alignment horizontal="right" vertical="top" wrapText="1"/>
    </xf>
    <xf numFmtId="4" fontId="19" fillId="0" borderId="57" xfId="0" applyNumberFormat="1" applyFont="1" applyBorder="1" applyAlignment="1">
      <alignment horizontal="right" vertical="top" wrapText="1"/>
    </xf>
    <xf numFmtId="0" fontId="20" fillId="0" borderId="0" xfId="0" applyFont="1"/>
    <xf numFmtId="4" fontId="18" fillId="0" borderId="24" xfId="0" applyNumberFormat="1" applyFont="1" applyFill="1" applyBorder="1" applyAlignment="1">
      <alignment vertical="top"/>
    </xf>
    <xf numFmtId="4" fontId="19" fillId="5" borderId="45" xfId="0" applyNumberFormat="1" applyFont="1" applyFill="1" applyBorder="1" applyAlignment="1">
      <alignment horizontal="right" vertical="top" wrapText="1" shrinkToFit="1"/>
    </xf>
    <xf numFmtId="4" fontId="19" fillId="0" borderId="67" xfId="0" applyNumberFormat="1" applyFont="1" applyBorder="1" applyAlignment="1">
      <alignment horizontal="right" vertical="top" wrapText="1"/>
    </xf>
    <xf numFmtId="4" fontId="19" fillId="0" borderId="8" xfId="0" applyNumberFormat="1" applyFont="1" applyBorder="1" applyAlignment="1">
      <alignment horizontal="right" vertical="top" wrapText="1"/>
    </xf>
    <xf numFmtId="0" fontId="18" fillId="0" borderId="23" xfId="0" applyFont="1" applyBorder="1" applyAlignment="1">
      <alignment horizontal="center" vertical="top" wrapText="1"/>
    </xf>
    <xf numFmtId="4" fontId="19" fillId="0" borderId="14" xfId="0" applyNumberFormat="1" applyFont="1" applyBorder="1" applyAlignment="1">
      <alignment horizontal="right" vertical="top" wrapText="1"/>
    </xf>
    <xf numFmtId="49" fontId="19" fillId="5" borderId="16" xfId="0" applyNumberFormat="1" applyFont="1" applyFill="1" applyBorder="1" applyAlignment="1">
      <alignment horizontal="left" vertical="top" wrapText="1" shrinkToFit="1"/>
    </xf>
    <xf numFmtId="4" fontId="19" fillId="5" borderId="60" xfId="0" applyNumberFormat="1" applyFont="1" applyFill="1" applyBorder="1" applyAlignment="1">
      <alignment horizontal="right" vertical="top" wrapText="1" shrinkToFit="1"/>
    </xf>
    <xf numFmtId="0" fontId="18" fillId="0" borderId="28" xfId="0" applyFont="1" applyBorder="1" applyAlignment="1">
      <alignment horizontal="center" vertical="top" wrapText="1"/>
    </xf>
    <xf numFmtId="0" fontId="19" fillId="0" borderId="28" xfId="0" applyFont="1" applyFill="1" applyBorder="1" applyAlignment="1">
      <alignment vertical="top" wrapText="1"/>
    </xf>
    <xf numFmtId="4" fontId="19" fillId="0" borderId="51" xfId="0" applyNumberFormat="1" applyFont="1" applyFill="1" applyBorder="1" applyAlignment="1">
      <alignment horizontal="right" vertical="top" wrapText="1"/>
    </xf>
    <xf numFmtId="4" fontId="19" fillId="0" borderId="3" xfId="0" applyNumberFormat="1" applyFont="1" applyFill="1" applyBorder="1" applyAlignment="1">
      <alignment horizontal="right" vertical="top" wrapText="1"/>
    </xf>
    <xf numFmtId="0" fontId="7" fillId="3" borderId="12" xfId="0" applyFont="1" applyFill="1" applyBorder="1" applyAlignment="1">
      <alignment horizontal="center" vertical="top" wrapText="1"/>
    </xf>
    <xf numFmtId="4" fontId="7" fillId="3" borderId="17" xfId="0" applyNumberFormat="1" applyFont="1" applyFill="1" applyBorder="1" applyAlignment="1">
      <alignment vertical="top"/>
    </xf>
    <xf numFmtId="0" fontId="7" fillId="2" borderId="12" xfId="0" applyFont="1" applyFill="1" applyBorder="1" applyAlignment="1">
      <alignment horizontal="center" vertical="top" wrapText="1"/>
    </xf>
    <xf numFmtId="4" fontId="7" fillId="2" borderId="17" xfId="0" applyNumberFormat="1" applyFont="1" applyFill="1" applyBorder="1" applyAlignment="1">
      <alignment vertical="top"/>
    </xf>
    <xf numFmtId="0" fontId="7" fillId="0" borderId="12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4" fontId="8" fillId="0" borderId="13" xfId="0" applyNumberFormat="1" applyFont="1" applyFill="1" applyBorder="1" applyAlignment="1">
      <alignment vertical="top" wrapText="1"/>
    </xf>
    <xf numFmtId="4" fontId="7" fillId="4" borderId="5" xfId="0" applyNumberFormat="1" applyFont="1" applyFill="1" applyBorder="1" applyAlignment="1">
      <alignment vertical="top" wrapText="1"/>
    </xf>
    <xf numFmtId="0" fontId="7" fillId="0" borderId="2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" fontId="8" fillId="0" borderId="44" xfId="0" applyNumberFormat="1" applyFont="1" applyBorder="1" applyAlignment="1">
      <alignment horizontal="right" vertical="top" wrapText="1"/>
    </xf>
    <xf numFmtId="0" fontId="8" fillId="0" borderId="5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4" fontId="8" fillId="4" borderId="35" xfId="0" applyNumberFormat="1" applyFont="1" applyFill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4" fontId="8" fillId="0" borderId="47" xfId="0" applyNumberFormat="1" applyFont="1" applyBorder="1" applyAlignment="1">
      <alignment horizontal="right" vertical="top" wrapText="1"/>
    </xf>
    <xf numFmtId="4" fontId="7" fillId="0" borderId="20" xfId="0" applyNumberFormat="1" applyFont="1" applyFill="1" applyBorder="1" applyAlignment="1">
      <alignment vertical="top"/>
    </xf>
    <xf numFmtId="4" fontId="7" fillId="2" borderId="24" xfId="0" applyNumberFormat="1" applyFont="1" applyFill="1" applyBorder="1" applyAlignment="1">
      <alignment vertical="top"/>
    </xf>
    <xf numFmtId="4" fontId="7" fillId="2" borderId="20" xfId="0" applyNumberFormat="1" applyFont="1" applyFill="1" applyBorder="1" applyAlignment="1">
      <alignment vertical="top"/>
    </xf>
    <xf numFmtId="4" fontId="7" fillId="2" borderId="25" xfId="0" applyNumberFormat="1" applyFont="1" applyFill="1" applyBorder="1" applyAlignment="1">
      <alignment vertical="top"/>
    </xf>
    <xf numFmtId="0" fontId="7" fillId="0" borderId="24" xfId="0" applyFont="1" applyFill="1" applyBorder="1" applyAlignment="1">
      <alignment horizontal="center" vertical="top" wrapText="1"/>
    </xf>
    <xf numFmtId="4" fontId="8" fillId="0" borderId="67" xfId="0" applyNumberFormat="1" applyFont="1" applyFill="1" applyBorder="1" applyAlignment="1">
      <alignment vertical="top"/>
    </xf>
    <xf numFmtId="4" fontId="8" fillId="0" borderId="60" xfId="0" applyNumberFormat="1" applyFont="1" applyFill="1" applyBorder="1" applyAlignment="1">
      <alignment vertical="top"/>
    </xf>
    <xf numFmtId="4" fontId="8" fillId="0" borderId="46" xfId="0" applyNumberFormat="1" applyFont="1" applyFill="1" applyBorder="1" applyAlignment="1">
      <alignment vertical="top"/>
    </xf>
    <xf numFmtId="4" fontId="7" fillId="0" borderId="28" xfId="0" applyNumberFormat="1" applyFont="1" applyFill="1" applyBorder="1" applyAlignment="1">
      <alignment vertical="top"/>
    </xf>
    <xf numFmtId="4" fontId="8" fillId="0" borderId="30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top" wrapText="1" shrinkToFit="1"/>
    </xf>
    <xf numFmtId="4" fontId="7" fillId="0" borderId="24" xfId="0" applyNumberFormat="1" applyFont="1" applyFill="1" applyBorder="1" applyAlignment="1">
      <alignment vertical="top"/>
    </xf>
    <xf numFmtId="49" fontId="7" fillId="0" borderId="20" xfId="0" applyNumberFormat="1" applyFont="1" applyFill="1" applyBorder="1" applyAlignment="1">
      <alignment horizontal="center" vertical="top" wrapText="1" shrinkToFit="1"/>
    </xf>
    <xf numFmtId="4" fontId="7" fillId="0" borderId="11" xfId="0" applyNumberFormat="1" applyFont="1" applyFill="1" applyBorder="1" applyAlignment="1">
      <alignment vertical="top"/>
    </xf>
    <xf numFmtId="49" fontId="7" fillId="5" borderId="20" xfId="0" applyNumberFormat="1" applyFont="1" applyFill="1" applyBorder="1" applyAlignment="1">
      <alignment horizontal="center" vertical="top" wrapText="1" shrinkToFit="1"/>
    </xf>
    <xf numFmtId="49" fontId="7" fillId="5" borderId="55" xfId="0" applyNumberFormat="1" applyFont="1" applyFill="1" applyBorder="1" applyAlignment="1">
      <alignment horizontal="center" vertical="top" wrapText="1" shrinkToFit="1"/>
    </xf>
    <xf numFmtId="49" fontId="7" fillId="5" borderId="12" xfId="0" applyNumberFormat="1" applyFont="1" applyFill="1" applyBorder="1" applyAlignment="1">
      <alignment horizontal="center" vertical="top" wrapText="1" shrinkToFit="1"/>
    </xf>
    <xf numFmtId="4" fontId="8" fillId="0" borderId="29" xfId="0" applyNumberFormat="1" applyFont="1" applyBorder="1" applyAlignment="1">
      <alignment vertical="top"/>
    </xf>
    <xf numFmtId="4" fontId="8" fillId="0" borderId="10" xfId="0" applyNumberFormat="1" applyFont="1" applyBorder="1" applyAlignment="1">
      <alignment vertical="top"/>
    </xf>
    <xf numFmtId="49" fontId="7" fillId="5" borderId="23" xfId="0" applyNumberFormat="1" applyFont="1" applyFill="1" applyBorder="1" applyAlignment="1">
      <alignment horizontal="center" vertical="top" wrapText="1" shrinkToFit="1"/>
    </xf>
    <xf numFmtId="4" fontId="7" fillId="0" borderId="23" xfId="0" applyNumberFormat="1" applyFont="1" applyFill="1" applyBorder="1" applyAlignment="1">
      <alignment vertical="top"/>
    </xf>
    <xf numFmtId="4" fontId="7" fillId="2" borderId="47" xfId="0" applyNumberFormat="1" applyFont="1" applyFill="1" applyBorder="1" applyAlignment="1">
      <alignment vertical="top"/>
    </xf>
    <xf numFmtId="4" fontId="7" fillId="2" borderId="40" xfId="0" applyNumberFormat="1" applyFont="1" applyFill="1" applyBorder="1" applyAlignment="1">
      <alignment vertical="top"/>
    </xf>
    <xf numFmtId="4" fontId="7" fillId="2" borderId="28" xfId="0" applyNumberFormat="1" applyFont="1" applyFill="1" applyBorder="1" applyAlignment="1">
      <alignment vertical="top"/>
    </xf>
    <xf numFmtId="4" fontId="8" fillId="0" borderId="7" xfId="0" applyNumberFormat="1" applyFont="1" applyBorder="1" applyAlignment="1">
      <alignment vertical="top"/>
    </xf>
    <xf numFmtId="4" fontId="8" fillId="0" borderId="50" xfId="0" applyNumberFormat="1" applyFont="1" applyBorder="1" applyAlignment="1">
      <alignment vertical="top"/>
    </xf>
    <xf numFmtId="49" fontId="7" fillId="5" borderId="17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" fontId="7" fillId="2" borderId="49" xfId="0" applyNumberFormat="1" applyFont="1" applyFill="1" applyBorder="1" applyAlignment="1">
      <alignment vertical="top"/>
    </xf>
    <xf numFmtId="4" fontId="7" fillId="2" borderId="66" xfId="0" applyNumberFormat="1" applyFont="1" applyFill="1" applyBorder="1" applyAlignment="1">
      <alignment vertical="top"/>
    </xf>
    <xf numFmtId="49" fontId="7" fillId="5" borderId="28" xfId="0" applyNumberFormat="1" applyFont="1" applyFill="1" applyBorder="1" applyAlignment="1">
      <alignment horizontal="center" vertical="top" wrapText="1" shrinkToFit="1"/>
    </xf>
    <xf numFmtId="4" fontId="8" fillId="0" borderId="9" xfId="0" applyNumberFormat="1" applyFont="1" applyBorder="1" applyAlignment="1">
      <alignment vertical="top"/>
    </xf>
    <xf numFmtId="4" fontId="7" fillId="0" borderId="12" xfId="0" applyNumberFormat="1" applyFont="1" applyBorder="1" applyAlignment="1">
      <alignment vertical="top"/>
    </xf>
    <xf numFmtId="49" fontId="7" fillId="5" borderId="25" xfId="0" applyNumberFormat="1" applyFont="1" applyFill="1" applyBorder="1" applyAlignment="1">
      <alignment horizontal="center" vertical="top" wrapText="1" shrinkToFit="1"/>
    </xf>
    <xf numFmtId="4" fontId="8" fillId="0" borderId="21" xfId="0" applyNumberFormat="1" applyFont="1" applyBorder="1" applyAlignment="1">
      <alignment vertical="top"/>
    </xf>
    <xf numFmtId="4" fontId="7" fillId="0" borderId="25" xfId="0" applyNumberFormat="1" applyFont="1" applyBorder="1" applyAlignment="1">
      <alignment vertical="top"/>
    </xf>
    <xf numFmtId="4" fontId="7" fillId="2" borderId="16" xfId="0" applyNumberFormat="1" applyFont="1" applyFill="1" applyBorder="1" applyAlignment="1">
      <alignment vertical="top"/>
    </xf>
    <xf numFmtId="49" fontId="8" fillId="5" borderId="16" xfId="0" applyNumberFormat="1" applyFont="1" applyFill="1" applyBorder="1" applyAlignment="1">
      <alignment horizontal="left" vertical="top" wrapText="1"/>
    </xf>
    <xf numFmtId="4" fontId="8" fillId="5" borderId="67" xfId="0" applyNumberFormat="1" applyFont="1" applyFill="1" applyBorder="1" applyAlignment="1">
      <alignment horizontal="right" vertical="top" wrapText="1"/>
    </xf>
    <xf numFmtId="4" fontId="8" fillId="5" borderId="60" xfId="0" applyNumberFormat="1" applyFont="1" applyFill="1" applyBorder="1" applyAlignment="1">
      <alignment horizontal="right" vertical="top" wrapText="1"/>
    </xf>
    <xf numFmtId="4" fontId="7" fillId="0" borderId="16" xfId="0" applyNumberFormat="1" applyFont="1" applyBorder="1" applyAlignment="1">
      <alignment vertical="top"/>
    </xf>
    <xf numFmtId="4" fontId="7" fillId="0" borderId="28" xfId="0" applyNumberFormat="1" applyFont="1" applyBorder="1" applyAlignment="1">
      <alignment vertical="top"/>
    </xf>
    <xf numFmtId="49" fontId="7" fillId="5" borderId="11" xfId="0" applyNumberFormat="1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4" fontId="21" fillId="2" borderId="5" xfId="0" applyNumberFormat="1" applyFont="1" applyFill="1" applyBorder="1" applyAlignment="1">
      <alignment horizontal="right" vertical="top" wrapText="1"/>
    </xf>
    <xf numFmtId="4" fontId="21" fillId="2" borderId="22" xfId="0" applyNumberFormat="1" applyFont="1" applyFill="1" applyBorder="1" applyAlignment="1">
      <alignment horizontal="right" vertical="top" wrapText="1"/>
    </xf>
    <xf numFmtId="4" fontId="22" fillId="0" borderId="3" xfId="0" applyNumberFormat="1" applyFont="1" applyBorder="1" applyAlignment="1">
      <alignment horizontal="right" vertical="top" wrapText="1"/>
    </xf>
    <xf numFmtId="4" fontId="22" fillId="0" borderId="73" xfId="0" applyNumberFormat="1" applyFont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4" fontId="22" fillId="0" borderId="70" xfId="0" applyNumberFormat="1" applyFont="1" applyBorder="1" applyAlignment="1">
      <alignment horizontal="right" vertical="top" wrapText="1"/>
    </xf>
    <xf numFmtId="4" fontId="22" fillId="0" borderId="18" xfId="0" applyNumberFormat="1" applyFont="1" applyBorder="1" applyAlignment="1">
      <alignment horizontal="right" vertical="top" wrapText="1"/>
    </xf>
    <xf numFmtId="4" fontId="22" fillId="0" borderId="77" xfId="0" applyNumberFormat="1" applyFont="1" applyBorder="1" applyAlignment="1">
      <alignment horizontal="right" vertical="top" wrapText="1"/>
    </xf>
    <xf numFmtId="4" fontId="21" fillId="7" borderId="5" xfId="0" applyNumberFormat="1" applyFont="1" applyFill="1" applyBorder="1" applyAlignment="1">
      <alignment horizontal="right" vertical="top" wrapText="1"/>
    </xf>
    <xf numFmtId="4" fontId="22" fillId="0" borderId="6" xfId="0" applyNumberFormat="1" applyFont="1" applyBorder="1" applyAlignment="1">
      <alignment horizontal="right" vertical="top" wrapText="1"/>
    </xf>
    <xf numFmtId="4" fontId="22" fillId="0" borderId="69" xfId="0" applyNumberFormat="1" applyFont="1" applyBorder="1" applyAlignment="1">
      <alignment horizontal="right" vertical="top" wrapText="1"/>
    </xf>
    <xf numFmtId="4" fontId="21" fillId="0" borderId="5" xfId="0" applyNumberFormat="1" applyFont="1" applyBorder="1" applyAlignment="1">
      <alignment horizontal="right" vertical="top" wrapText="1"/>
    </xf>
    <xf numFmtId="4" fontId="21" fillId="0" borderId="37" xfId="0" applyNumberFormat="1" applyFont="1" applyBorder="1" applyAlignment="1">
      <alignment horizontal="right" vertical="top" wrapText="1"/>
    </xf>
    <xf numFmtId="4" fontId="21" fillId="0" borderId="18" xfId="0" applyNumberFormat="1" applyFont="1" applyBorder="1" applyAlignment="1">
      <alignment horizontal="right" vertical="top" wrapText="1"/>
    </xf>
    <xf numFmtId="4" fontId="21" fillId="0" borderId="63" xfId="0" applyNumberFormat="1" applyFont="1" applyBorder="1" applyAlignment="1">
      <alignment horizontal="right" vertical="top" wrapText="1"/>
    </xf>
    <xf numFmtId="4" fontId="21" fillId="2" borderId="37" xfId="0" applyNumberFormat="1" applyFont="1" applyFill="1" applyBorder="1" applyAlignment="1">
      <alignment horizontal="right" vertical="top" wrapText="1"/>
    </xf>
    <xf numFmtId="4" fontId="21" fillId="0" borderId="6" xfId="0" applyNumberFormat="1" applyFont="1" applyBorder="1" applyAlignment="1">
      <alignment horizontal="right" vertical="top" wrapText="1"/>
    </xf>
    <xf numFmtId="4" fontId="21" fillId="0" borderId="69" xfId="0" applyNumberFormat="1" applyFont="1" applyBorder="1" applyAlignment="1">
      <alignment horizontal="right" vertical="top" wrapText="1"/>
    </xf>
    <xf numFmtId="4" fontId="21" fillId="0" borderId="15" xfId="0" applyNumberFormat="1" applyFont="1" applyBorder="1" applyAlignment="1">
      <alignment horizontal="right" vertical="top" wrapText="1"/>
    </xf>
    <xf numFmtId="4" fontId="21" fillId="0" borderId="76" xfId="0" applyNumberFormat="1" applyFont="1" applyBorder="1" applyAlignment="1">
      <alignment horizontal="right" vertical="top" wrapText="1"/>
    </xf>
    <xf numFmtId="4" fontId="21" fillId="0" borderId="22" xfId="0" applyNumberFormat="1" applyFont="1" applyBorder="1" applyAlignment="1">
      <alignment horizontal="right" vertical="top" wrapText="1"/>
    </xf>
    <xf numFmtId="4" fontId="22" fillId="0" borderId="41" xfId="0" applyNumberFormat="1" applyFont="1" applyBorder="1" applyAlignment="1">
      <alignment horizontal="right" vertical="top" wrapText="1"/>
    </xf>
    <xf numFmtId="4" fontId="22" fillId="0" borderId="40" xfId="0" applyNumberFormat="1" applyFont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4" fontId="22" fillId="0" borderId="42" xfId="0" applyNumberFormat="1" applyFont="1" applyBorder="1" applyAlignment="1">
      <alignment horizontal="right" vertical="top" wrapText="1"/>
    </xf>
    <xf numFmtId="4" fontId="22" fillId="0" borderId="66" xfId="0" applyNumberFormat="1" applyFont="1" applyBorder="1" applyAlignment="1">
      <alignment horizontal="right" vertical="top" wrapText="1"/>
    </xf>
    <xf numFmtId="4" fontId="21" fillId="8" borderId="14" xfId="0" applyNumberFormat="1" applyFont="1" applyFill="1" applyBorder="1" applyAlignment="1">
      <alignment horizontal="right" vertical="top" wrapText="1"/>
    </xf>
    <xf numFmtId="4" fontId="21" fillId="8" borderId="35" xfId="0" applyNumberFormat="1" applyFont="1" applyFill="1" applyBorder="1" applyAlignment="1">
      <alignment horizontal="right" vertical="top" wrapText="1"/>
    </xf>
    <xf numFmtId="4" fontId="21" fillId="0" borderId="0" xfId="0" applyNumberFormat="1" applyFont="1" applyBorder="1" applyAlignment="1">
      <alignment horizontal="right" vertical="top" wrapText="1"/>
    </xf>
    <xf numFmtId="4" fontId="21" fillId="0" borderId="8" xfId="0" applyNumberFormat="1" applyFont="1" applyBorder="1" applyAlignment="1">
      <alignment horizontal="right" vertical="top" wrapText="1"/>
    </xf>
    <xf numFmtId="4" fontId="21" fillId="0" borderId="71" xfId="0" applyNumberFormat="1" applyFont="1" applyBorder="1" applyAlignment="1">
      <alignment horizontal="right" vertical="top" wrapText="1"/>
    </xf>
    <xf numFmtId="4" fontId="21" fillId="0" borderId="1" xfId="0" applyNumberFormat="1" applyFont="1" applyBorder="1" applyAlignment="1">
      <alignment horizontal="right" vertical="top" wrapText="1"/>
    </xf>
    <xf numFmtId="4" fontId="21" fillId="0" borderId="70" xfId="0" applyNumberFormat="1" applyFont="1" applyBorder="1" applyAlignment="1">
      <alignment horizontal="right" vertical="top" wrapText="1"/>
    </xf>
    <xf numFmtId="4" fontId="22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4" fontId="22" fillId="0" borderId="74" xfId="0" applyNumberFormat="1" applyFont="1" applyBorder="1" applyAlignment="1">
      <alignment horizontal="right" vertical="top" wrapText="1"/>
    </xf>
    <xf numFmtId="4" fontId="22" fillId="0" borderId="8" xfId="0" applyNumberFormat="1" applyFont="1" applyBorder="1" applyAlignment="1">
      <alignment horizontal="right" vertical="top" wrapText="1"/>
    </xf>
    <xf numFmtId="4" fontId="21" fillId="8" borderId="5" xfId="0" applyNumberFormat="1" applyFont="1" applyFill="1" applyBorder="1" applyAlignment="1">
      <alignment horizontal="right" vertical="top" wrapText="1"/>
    </xf>
    <xf numFmtId="0" fontId="18" fillId="0" borderId="12" xfId="0" applyFont="1" applyFill="1" applyBorder="1" applyAlignment="1">
      <alignment horizontal="left" vertical="top" wrapText="1"/>
    </xf>
    <xf numFmtId="0" fontId="18" fillId="0" borderId="12" xfId="0" applyFont="1" applyFill="1" applyBorder="1" applyAlignment="1">
      <alignment horizontal="center" vertical="top" wrapText="1"/>
    </xf>
    <xf numFmtId="4" fontId="18" fillId="0" borderId="22" xfId="0" applyNumberFormat="1" applyFont="1" applyFill="1" applyBorder="1" applyAlignment="1">
      <alignment vertical="top"/>
    </xf>
    <xf numFmtId="4" fontId="18" fillId="0" borderId="12" xfId="0" applyNumberFormat="1" applyFont="1" applyFill="1" applyBorder="1" applyAlignment="1">
      <alignment vertical="top"/>
    </xf>
    <xf numFmtId="49" fontId="18" fillId="0" borderId="12" xfId="0" applyNumberFormat="1" applyFont="1" applyFill="1" applyBorder="1" applyAlignment="1">
      <alignment horizontal="left" vertical="top" wrapText="1" shrinkToFit="1"/>
    </xf>
    <xf numFmtId="49" fontId="18" fillId="0" borderId="12" xfId="0" applyNumberFormat="1" applyFont="1" applyFill="1" applyBorder="1" applyAlignment="1">
      <alignment horizontal="center" vertical="top" wrapText="1" shrinkToFit="1"/>
    </xf>
    <xf numFmtId="4" fontId="18" fillId="0" borderId="5" xfId="0" applyNumberFormat="1" applyFont="1" applyBorder="1" applyAlignment="1">
      <alignment vertical="top"/>
    </xf>
    <xf numFmtId="4" fontId="19" fillId="5" borderId="40" xfId="0" applyNumberFormat="1" applyFont="1" applyFill="1" applyBorder="1" applyAlignment="1">
      <alignment horizontal="right" vertical="top" wrapText="1" shrinkToFit="1"/>
    </xf>
    <xf numFmtId="49" fontId="18" fillId="5" borderId="25" xfId="0" applyNumberFormat="1" applyFont="1" applyFill="1" applyBorder="1" applyAlignment="1">
      <alignment horizontal="center" vertical="top" wrapText="1" shrinkToFit="1"/>
    </xf>
    <xf numFmtId="0" fontId="19" fillId="0" borderId="25" xfId="0" applyFont="1" applyBorder="1" applyAlignment="1">
      <alignment vertical="top" wrapText="1"/>
    </xf>
    <xf numFmtId="4" fontId="19" fillId="5" borderId="63" xfId="0" applyNumberFormat="1" applyFont="1" applyFill="1" applyBorder="1" applyAlignment="1">
      <alignment horizontal="right" vertical="top" wrapText="1" shrinkToFit="1"/>
    </xf>
    <xf numFmtId="4" fontId="19" fillId="5" borderId="0" xfId="0" applyNumberFormat="1" applyFont="1" applyFill="1" applyBorder="1" applyAlignment="1">
      <alignment horizontal="right" vertical="top" wrapText="1" shrinkToFit="1"/>
    </xf>
    <xf numFmtId="49" fontId="18" fillId="5" borderId="12" xfId="0" applyNumberFormat="1" applyFont="1" applyFill="1" applyBorder="1" applyAlignment="1">
      <alignment horizontal="center" vertical="top" wrapText="1" shrinkToFit="1"/>
    </xf>
    <xf numFmtId="49" fontId="18" fillId="5" borderId="12" xfId="0" applyNumberFormat="1" applyFont="1" applyFill="1" applyBorder="1" applyAlignment="1">
      <alignment horizontal="left" vertical="top" wrapText="1" shrinkToFit="1"/>
    </xf>
    <xf numFmtId="4" fontId="18" fillId="5" borderId="22" xfId="0" applyNumberFormat="1" applyFont="1" applyFill="1" applyBorder="1" applyAlignment="1">
      <alignment horizontal="right" vertical="top" wrapText="1" shrinkToFit="1"/>
    </xf>
    <xf numFmtId="49" fontId="18" fillId="5" borderId="9" xfId="0" applyNumberFormat="1" applyFont="1" applyFill="1" applyBorder="1" applyAlignment="1">
      <alignment horizontal="center" vertical="top" wrapText="1" shrinkToFit="1"/>
    </xf>
    <xf numFmtId="4" fontId="19" fillId="5" borderId="42" xfId="0" applyNumberFormat="1" applyFont="1" applyFill="1" applyBorder="1" applyAlignment="1">
      <alignment horizontal="right" vertical="top" wrapText="1" shrinkToFit="1"/>
    </xf>
    <xf numFmtId="4" fontId="19" fillId="5" borderId="2" xfId="0" applyNumberFormat="1" applyFont="1" applyFill="1" applyBorder="1" applyAlignment="1">
      <alignment horizontal="right" vertical="top" wrapText="1" shrinkToFit="1"/>
    </xf>
    <xf numFmtId="4" fontId="18" fillId="0" borderId="23" xfId="0" applyNumberFormat="1" applyFont="1" applyFill="1" applyBorder="1" applyAlignment="1">
      <alignment vertical="top"/>
    </xf>
    <xf numFmtId="49" fontId="18" fillId="5" borderId="21" xfId="0" applyNumberFormat="1" applyFont="1" applyFill="1" applyBorder="1" applyAlignment="1">
      <alignment horizontal="center" vertical="top" wrapText="1" shrinkToFit="1"/>
    </xf>
    <xf numFmtId="0" fontId="19" fillId="0" borderId="23" xfId="0" applyFont="1" applyBorder="1" applyAlignment="1">
      <alignment vertical="top" wrapText="1"/>
    </xf>
    <xf numFmtId="4" fontId="19" fillId="5" borderId="49" xfId="0" applyNumberFormat="1" applyFont="1" applyFill="1" applyBorder="1" applyAlignment="1">
      <alignment horizontal="right" vertical="top" wrapText="1" shrinkToFit="1"/>
    </xf>
    <xf numFmtId="4" fontId="19" fillId="5" borderId="6" xfId="0" applyNumberFormat="1" applyFont="1" applyFill="1" applyBorder="1" applyAlignment="1">
      <alignment horizontal="right" vertical="top" wrapText="1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17" fillId="0" borderId="4" xfId="0" applyNumberFormat="1" applyFont="1" applyFill="1" applyBorder="1" applyAlignment="1">
      <alignment vertical="top" wrapText="1"/>
    </xf>
    <xf numFmtId="49" fontId="17" fillId="0" borderId="5" xfId="0" applyNumberFormat="1" applyFont="1" applyFill="1" applyBorder="1" applyAlignment="1">
      <alignment horizontal="center" vertical="top" wrapText="1"/>
    </xf>
    <xf numFmtId="4" fontId="17" fillId="0" borderId="27" xfId="0" applyNumberFormat="1" applyFont="1" applyFill="1" applyBorder="1" applyAlignment="1">
      <alignment horizontal="right" vertical="top" wrapText="1"/>
    </xf>
    <xf numFmtId="4" fontId="21" fillId="0" borderId="5" xfId="0" applyNumberFormat="1" applyFont="1" applyFill="1" applyBorder="1" applyAlignment="1">
      <alignment horizontal="right" vertical="top" wrapText="1"/>
    </xf>
    <xf numFmtId="4" fontId="21" fillId="0" borderId="37" xfId="0" applyNumberFormat="1" applyFont="1" applyFill="1" applyBorder="1" applyAlignment="1">
      <alignment horizontal="right" vertical="top" wrapText="1"/>
    </xf>
    <xf numFmtId="49" fontId="8" fillId="5" borderId="73" xfId="0" applyNumberFormat="1" applyFont="1" applyFill="1" applyBorder="1" applyAlignment="1">
      <alignment horizontal="left" vertical="top" wrapText="1" shrinkToFit="1"/>
    </xf>
    <xf numFmtId="49" fontId="8" fillId="5" borderId="70" xfId="0" applyNumberFormat="1" applyFont="1" applyFill="1" applyBorder="1" applyAlignment="1">
      <alignment horizontal="left" vertical="top" wrapText="1" shrinkToFit="1"/>
    </xf>
    <xf numFmtId="49" fontId="8" fillId="5" borderId="74" xfId="0" applyNumberFormat="1" applyFont="1" applyFill="1" applyBorder="1" applyAlignment="1">
      <alignment horizontal="left" vertical="top" wrapText="1" shrinkToFit="1"/>
    </xf>
    <xf numFmtId="4" fontId="8" fillId="5" borderId="5" xfId="0" applyNumberFormat="1" applyFont="1" applyFill="1" applyBorder="1" applyAlignment="1">
      <alignment horizontal="right" vertical="top" wrapText="1" shrinkToFit="1"/>
    </xf>
    <xf numFmtId="4" fontId="8" fillId="5" borderId="22" xfId="0" applyNumberFormat="1" applyFont="1" applyFill="1" applyBorder="1" applyAlignment="1">
      <alignment horizontal="right" vertical="top" wrapText="1" shrinkToFit="1"/>
    </xf>
    <xf numFmtId="49" fontId="7" fillId="5" borderId="12" xfId="0" applyNumberFormat="1" applyFont="1" applyFill="1" applyBorder="1" applyAlignment="1">
      <alignment horizontal="left" vertical="top" wrapText="1" shrinkToFit="1"/>
    </xf>
    <xf numFmtId="4" fontId="7" fillId="0" borderId="17" xfId="0" applyNumberFormat="1" applyFont="1" applyBorder="1" applyAlignment="1">
      <alignment vertical="top"/>
    </xf>
    <xf numFmtId="4" fontId="3" fillId="0" borderId="67" xfId="0" applyNumberFormat="1" applyFont="1" applyBorder="1" applyAlignment="1">
      <alignment horizontal="right" vertical="center" wrapText="1"/>
    </xf>
    <xf numFmtId="4" fontId="3" fillId="0" borderId="66" xfId="0" applyNumberFormat="1" applyFont="1" applyBorder="1" applyAlignment="1">
      <alignment horizontal="right" vertical="center" wrapText="1"/>
    </xf>
    <xf numFmtId="0" fontId="8" fillId="0" borderId="16" xfId="0" applyFont="1" applyFill="1" applyBorder="1" applyAlignment="1">
      <alignment vertical="top" wrapText="1"/>
    </xf>
    <xf numFmtId="49" fontId="8" fillId="5" borderId="20" xfId="0" applyNumberFormat="1" applyFont="1" applyFill="1" applyBorder="1" applyAlignment="1">
      <alignment vertical="top" wrapText="1" shrinkToFit="1"/>
    </xf>
    <xf numFmtId="49" fontId="8" fillId="5" borderId="24" xfId="0" applyNumberFormat="1" applyFont="1" applyFill="1" applyBorder="1" applyAlignment="1">
      <alignment horizontal="left" vertical="top" wrapText="1" shrinkToFit="1"/>
    </xf>
    <xf numFmtId="49" fontId="7" fillId="5" borderId="24" xfId="0" applyNumberFormat="1" applyFont="1" applyFill="1" applyBorder="1" applyAlignment="1">
      <alignment horizontal="center" vertical="top" wrapText="1" shrinkToFit="1"/>
    </xf>
    <xf numFmtId="4" fontId="8" fillId="5" borderId="58" xfId="0" applyNumberFormat="1" applyFont="1" applyFill="1" applyBorder="1" applyAlignment="1">
      <alignment horizontal="right" vertical="top" wrapText="1" shrinkToFit="1"/>
    </xf>
    <xf numFmtId="4" fontId="8" fillId="5" borderId="43" xfId="0" applyNumberFormat="1" applyFont="1" applyFill="1" applyBorder="1" applyAlignment="1">
      <alignment horizontal="right" vertical="top" wrapText="1" shrinkToFit="1"/>
    </xf>
    <xf numFmtId="49" fontId="8" fillId="5" borderId="0" xfId="0" applyNumberFormat="1" applyFont="1" applyFill="1" applyBorder="1" applyAlignment="1">
      <alignment vertical="top" wrapText="1" shrinkToFit="1"/>
    </xf>
    <xf numFmtId="49" fontId="8" fillId="0" borderId="24" xfId="0" applyNumberFormat="1" applyFont="1" applyBorder="1" applyAlignment="1">
      <alignment horizontal="left" vertical="top" wrapText="1"/>
    </xf>
    <xf numFmtId="4" fontId="8" fillId="5" borderId="18" xfId="0" applyNumberFormat="1" applyFont="1" applyFill="1" applyBorder="1" applyAlignment="1">
      <alignment horizontal="right" vertical="top" wrapText="1" shrinkToFit="1"/>
    </xf>
    <xf numFmtId="49" fontId="8" fillId="5" borderId="61" xfId="0" applyNumberFormat="1" applyFont="1" applyFill="1" applyBorder="1" applyAlignment="1">
      <alignment vertical="top" wrapText="1" shrinkToFit="1"/>
    </xf>
    <xf numFmtId="49" fontId="8" fillId="0" borderId="23" xfId="0" applyNumberFormat="1" applyFont="1" applyBorder="1" applyAlignment="1">
      <alignment horizontal="left" vertical="top" wrapText="1"/>
    </xf>
    <xf numFmtId="4" fontId="8" fillId="5" borderId="6" xfId="0" applyNumberFormat="1" applyFont="1" applyFill="1" applyBorder="1" applyAlignment="1">
      <alignment horizontal="right" vertical="top" wrapText="1" shrinkToFit="1"/>
    </xf>
    <xf numFmtId="4" fontId="7" fillId="0" borderId="23" xfId="0" applyNumberFormat="1" applyFont="1" applyBorder="1" applyAlignment="1">
      <alignment vertical="top"/>
    </xf>
    <xf numFmtId="1" fontId="7" fillId="0" borderId="5" xfId="0" applyNumberFormat="1" applyFont="1" applyBorder="1" applyAlignment="1">
      <alignment horizontal="center" vertical="top" wrapText="1"/>
    </xf>
    <xf numFmtId="1" fontId="7" fillId="0" borderId="19" xfId="0" applyNumberFormat="1" applyFont="1" applyBorder="1" applyAlignment="1">
      <alignment horizontal="center" vertical="top" wrapText="1"/>
    </xf>
    <xf numFmtId="1" fontId="11" fillId="0" borderId="5" xfId="0" applyNumberFormat="1" applyFont="1" applyBorder="1" applyAlignment="1">
      <alignment horizontal="center" vertical="top" wrapText="1"/>
    </xf>
    <xf numFmtId="1" fontId="11" fillId="0" borderId="37" xfId="0" applyNumberFormat="1" applyFont="1" applyBorder="1" applyAlignment="1">
      <alignment horizontal="center" vertical="top" wrapText="1"/>
    </xf>
    <xf numFmtId="4" fontId="7" fillId="6" borderId="22" xfId="0" applyNumberFormat="1" applyFont="1" applyFill="1" applyBorder="1" applyAlignment="1">
      <alignment horizontal="right" vertical="top"/>
    </xf>
    <xf numFmtId="4" fontId="8" fillId="6" borderId="68" xfId="0" applyNumberFormat="1" applyFont="1" applyFill="1" applyBorder="1" applyAlignment="1">
      <alignment horizontal="right" vertical="top"/>
    </xf>
    <xf numFmtId="4" fontId="7" fillId="6" borderId="68" xfId="0" applyNumberFormat="1" applyFont="1" applyFill="1" applyBorder="1" applyAlignment="1">
      <alignment horizontal="right" vertical="top"/>
    </xf>
    <xf numFmtId="4" fontId="7" fillId="2" borderId="70" xfId="0" applyNumberFormat="1" applyFont="1" applyFill="1" applyBorder="1" applyAlignment="1">
      <alignment horizontal="right" vertical="top"/>
    </xf>
    <xf numFmtId="4" fontId="7" fillId="2" borderId="69" xfId="0" applyNumberFormat="1" applyFont="1" applyFill="1" applyBorder="1" applyAlignment="1">
      <alignment horizontal="right" vertical="top"/>
    </xf>
    <xf numFmtId="4" fontId="7" fillId="0" borderId="27" xfId="0" applyNumberFormat="1" applyFont="1" applyBorder="1" applyAlignment="1">
      <alignment horizontal="right" vertical="top"/>
    </xf>
    <xf numFmtId="4" fontId="7" fillId="0" borderId="22" xfId="0" applyNumberFormat="1" applyFont="1" applyFill="1" applyBorder="1" applyAlignment="1">
      <alignment vertical="top"/>
    </xf>
    <xf numFmtId="4" fontId="8" fillId="0" borderId="8" xfId="0" applyNumberFormat="1" applyFont="1" applyBorder="1" applyAlignment="1">
      <alignment horizontal="right" vertical="top" wrapText="1"/>
    </xf>
    <xf numFmtId="4" fontId="8" fillId="0" borderId="14" xfId="0" applyNumberFormat="1" applyFont="1" applyBorder="1" applyAlignment="1">
      <alignment horizontal="right" vertical="top" wrapText="1"/>
    </xf>
    <xf numFmtId="4" fontId="8" fillId="0" borderId="15" xfId="0" applyNumberFormat="1" applyFont="1" applyBorder="1" applyAlignment="1">
      <alignment vertical="top"/>
    </xf>
    <xf numFmtId="4" fontId="8" fillId="0" borderId="33" xfId="0" applyNumberFormat="1" applyFont="1" applyBorder="1" applyAlignment="1">
      <alignment vertical="top"/>
    </xf>
    <xf numFmtId="4" fontId="8" fillId="0" borderId="13" xfId="0" applyNumberFormat="1" applyFont="1" applyBorder="1" applyAlignment="1">
      <alignment vertical="top"/>
    </xf>
    <xf numFmtId="4" fontId="7" fillId="5" borderId="22" xfId="0" applyNumberFormat="1" applyFont="1" applyFill="1" applyBorder="1" applyAlignment="1">
      <alignment horizontal="right" vertical="top" wrapText="1" shrinkToFit="1"/>
    </xf>
    <xf numFmtId="4" fontId="8" fillId="0" borderId="19" xfId="0" applyNumberFormat="1" applyFont="1" applyBorder="1" applyAlignment="1">
      <alignment vertical="top"/>
    </xf>
    <xf numFmtId="4" fontId="8" fillId="0" borderId="48" xfId="0" applyNumberFormat="1" applyFont="1" applyBorder="1" applyAlignment="1">
      <alignment vertical="top"/>
    </xf>
    <xf numFmtId="4" fontId="8" fillId="0" borderId="67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35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36" xfId="0" applyNumberFormat="1" applyFont="1" applyBorder="1" applyAlignment="1">
      <alignment horizontal="center" vertical="center" wrapText="1"/>
    </xf>
    <xf numFmtId="4" fontId="8" fillId="4" borderId="41" xfId="0" applyNumberFormat="1" applyFont="1" applyFill="1" applyBorder="1" applyAlignment="1">
      <alignment vertical="top" wrapText="1"/>
    </xf>
    <xf numFmtId="4" fontId="8" fillId="4" borderId="3" xfId="0" applyNumberFormat="1" applyFont="1" applyFill="1" applyBorder="1" applyAlignment="1">
      <alignment vertical="top" wrapText="1"/>
    </xf>
    <xf numFmtId="4" fontId="8" fillId="4" borderId="40" xfId="0" applyNumberFormat="1" applyFont="1" applyFill="1" applyBorder="1" applyAlignment="1">
      <alignment vertical="top" wrapText="1"/>
    </xf>
    <xf numFmtId="4" fontId="8" fillId="4" borderId="42" xfId="0" applyNumberFormat="1" applyFont="1" applyFill="1" applyBorder="1" applyAlignment="1">
      <alignment vertical="top" wrapText="1"/>
    </xf>
    <xf numFmtId="4" fontId="8" fillId="4" borderId="2" xfId="0" applyNumberFormat="1" applyFont="1" applyFill="1" applyBorder="1" applyAlignment="1">
      <alignment vertical="top" wrapText="1"/>
    </xf>
    <xf numFmtId="4" fontId="8" fillId="4" borderId="63" xfId="0" applyNumberFormat="1" applyFont="1" applyFill="1" applyBorder="1" applyAlignment="1">
      <alignment vertical="top" wrapText="1"/>
    </xf>
    <xf numFmtId="4" fontId="8" fillId="4" borderId="18" xfId="0" applyNumberFormat="1" applyFont="1" applyFill="1" applyBorder="1" applyAlignment="1">
      <alignment vertical="top" wrapText="1"/>
    </xf>
    <xf numFmtId="4" fontId="8" fillId="0" borderId="63" xfId="0" applyNumberFormat="1" applyFont="1" applyFill="1" applyBorder="1" applyAlignment="1">
      <alignment vertical="top" wrapText="1"/>
    </xf>
    <xf numFmtId="4" fontId="8" fillId="0" borderId="18" xfId="0" applyNumberFormat="1" applyFont="1" applyFill="1" applyBorder="1" applyAlignment="1">
      <alignment vertical="top" wrapText="1"/>
    </xf>
    <xf numFmtId="4" fontId="8" fillId="0" borderId="41" xfId="0" applyNumberFormat="1" applyFont="1" applyFill="1" applyBorder="1" applyAlignment="1">
      <alignment vertical="top" wrapText="1"/>
    </xf>
    <xf numFmtId="4" fontId="8" fillId="0" borderId="3" xfId="0" applyNumberFormat="1" applyFont="1" applyFill="1" applyBorder="1" applyAlignment="1">
      <alignment vertical="top" wrapText="1"/>
    </xf>
    <xf numFmtId="4" fontId="8" fillId="0" borderId="42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vertical="top" wrapText="1"/>
    </xf>
    <xf numFmtId="4" fontId="8" fillId="0" borderId="26" xfId="0" applyNumberFormat="1" applyFont="1" applyFill="1" applyBorder="1" applyAlignment="1">
      <alignment vertical="top" wrapText="1"/>
    </xf>
    <xf numFmtId="4" fontId="8" fillId="0" borderId="5" xfId="0" applyNumberFormat="1" applyFont="1" applyFill="1" applyBorder="1" applyAlignment="1">
      <alignment vertical="top" wrapText="1"/>
    </xf>
    <xf numFmtId="4" fontId="8" fillId="0" borderId="27" xfId="0" applyNumberFormat="1" applyFont="1" applyFill="1" applyBorder="1" applyAlignment="1">
      <alignment vertical="top" wrapText="1"/>
    </xf>
    <xf numFmtId="4" fontId="8" fillId="0" borderId="68" xfId="0" applyNumberFormat="1" applyFont="1" applyFill="1" applyBorder="1" applyAlignment="1">
      <alignment vertical="top" wrapText="1"/>
    </xf>
    <xf numFmtId="4" fontId="8" fillId="0" borderId="15" xfId="0" applyNumberFormat="1" applyFont="1" applyFill="1" applyBorder="1" applyAlignment="1">
      <alignment vertical="top" wrapText="1"/>
    </xf>
    <xf numFmtId="4" fontId="8" fillId="0" borderId="41" xfId="0" applyNumberFormat="1" applyFont="1" applyBorder="1" applyAlignment="1">
      <alignment vertical="top" wrapText="1"/>
    </xf>
    <xf numFmtId="4" fontId="8" fillId="0" borderId="9" xfId="0" applyNumberFormat="1" applyFont="1" applyBorder="1" applyAlignment="1">
      <alignment vertical="top" wrapText="1"/>
    </xf>
    <xf numFmtId="49" fontId="8" fillId="0" borderId="20" xfId="0" applyNumberFormat="1" applyFont="1" applyFill="1" applyBorder="1" applyAlignment="1">
      <alignment horizontal="left" vertical="top" wrapText="1"/>
    </xf>
    <xf numFmtId="4" fontId="8" fillId="0" borderId="0" xfId="0" applyNumberFormat="1" applyFont="1" applyAlignment="1">
      <alignment horizontal="center" vertical="top" wrapText="1"/>
    </xf>
    <xf numFmtId="4" fontId="8" fillId="0" borderId="0" xfId="0" applyNumberFormat="1" applyFont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4" fontId="8" fillId="0" borderId="52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7" xfId="0" applyFont="1" applyFill="1" applyBorder="1" applyAlignment="1">
      <alignment horizontal="center" vertical="top" wrapText="1"/>
    </xf>
    <xf numFmtId="0" fontId="7" fillId="0" borderId="54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8" fillId="0" borderId="23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left" vertical="top" wrapText="1"/>
    </xf>
    <xf numFmtId="4" fontId="8" fillId="0" borderId="40" xfId="0" applyNumberFormat="1" applyFont="1" applyBorder="1" applyAlignment="1">
      <alignment vertical="top" wrapText="1"/>
    </xf>
    <xf numFmtId="4" fontId="8" fillId="0" borderId="66" xfId="0" applyNumberFormat="1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8" fillId="2" borderId="20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0" fontId="8" fillId="0" borderId="41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79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horizontal="left" vertical="top" wrapText="1"/>
    </xf>
    <xf numFmtId="4" fontId="7" fillId="0" borderId="40" xfId="0" applyNumberFormat="1" applyFont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top" wrapText="1"/>
    </xf>
    <xf numFmtId="4" fontId="7" fillId="0" borderId="66" xfId="0" applyNumberFormat="1" applyFont="1" applyBorder="1" applyAlignment="1">
      <alignment vertical="top" wrapText="1"/>
    </xf>
    <xf numFmtId="0" fontId="8" fillId="9" borderId="0" xfId="0" applyFont="1" applyFill="1" applyAlignment="1">
      <alignment vertical="top" wrapText="1"/>
    </xf>
    <xf numFmtId="0" fontId="7" fillId="9" borderId="12" xfId="0" applyFont="1" applyFill="1" applyBorder="1" applyAlignment="1">
      <alignment horizontal="center" vertical="top" wrapText="1"/>
    </xf>
    <xf numFmtId="0" fontId="8" fillId="9" borderId="16" xfId="0" applyFont="1" applyFill="1" applyBorder="1" applyAlignment="1">
      <alignment vertical="top" wrapText="1"/>
    </xf>
    <xf numFmtId="0" fontId="8" fillId="9" borderId="11" xfId="0" applyFont="1" applyFill="1" applyBorder="1" applyAlignment="1">
      <alignment vertical="top" wrapText="1"/>
    </xf>
    <xf numFmtId="0" fontId="8" fillId="9" borderId="23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vertical="top" wrapText="1"/>
    </xf>
    <xf numFmtId="0" fontId="7" fillId="9" borderId="0" xfId="0" applyFont="1" applyFill="1" applyBorder="1" applyAlignment="1">
      <alignment vertical="top" wrapText="1"/>
    </xf>
    <xf numFmtId="4" fontId="7" fillId="0" borderId="14" xfId="0" applyNumberFormat="1" applyFont="1" applyBorder="1" applyAlignment="1">
      <alignment vertical="top"/>
    </xf>
    <xf numFmtId="4" fontId="7" fillId="0" borderId="3" xfId="0" applyNumberFormat="1" applyFont="1" applyBorder="1" applyAlignment="1">
      <alignment vertical="top"/>
    </xf>
    <xf numFmtId="4" fontId="7" fillId="0" borderId="6" xfId="0" applyNumberFormat="1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8" fillId="0" borderId="17" xfId="0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80" xfId="0" applyFont="1" applyFill="1" applyBorder="1" applyAlignment="1">
      <alignment vertical="top" wrapText="1"/>
    </xf>
    <xf numFmtId="4" fontId="7" fillId="0" borderId="47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left" vertical="top" wrapText="1"/>
    </xf>
    <xf numFmtId="4" fontId="0" fillId="0" borderId="0" xfId="0" applyNumberFormat="1"/>
    <xf numFmtId="0" fontId="0" fillId="0" borderId="39" xfId="0" applyBorder="1"/>
    <xf numFmtId="0" fontId="8" fillId="0" borderId="72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8" fillId="0" borderId="52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center" vertical="top" wrapText="1"/>
    </xf>
    <xf numFmtId="4" fontId="8" fillId="0" borderId="45" xfId="0" applyNumberFormat="1" applyFont="1" applyBorder="1" applyAlignment="1">
      <alignment horizontal="center" vertical="top" wrapText="1"/>
    </xf>
    <xf numFmtId="4" fontId="8" fillId="0" borderId="46" xfId="0" applyNumberFormat="1" applyFont="1" applyBorder="1" applyAlignment="1">
      <alignment horizontal="center" vertical="top" wrapText="1"/>
    </xf>
    <xf numFmtId="4" fontId="8" fillId="0" borderId="50" xfId="0" applyNumberFormat="1" applyFont="1" applyBorder="1" applyAlignment="1">
      <alignment horizontal="center" vertical="top" wrapText="1"/>
    </xf>
    <xf numFmtId="4" fontId="8" fillId="0" borderId="49" xfId="0" applyNumberFormat="1" applyFont="1" applyBorder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  <xf numFmtId="4" fontId="8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4" fontId="8" fillId="0" borderId="0" xfId="0" applyNumberFormat="1" applyFont="1" applyFill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7" fillId="0" borderId="54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4" fontId="7" fillId="0" borderId="45" xfId="0" applyNumberFormat="1" applyFont="1" applyFill="1" applyBorder="1" applyAlignment="1">
      <alignment horizontal="right" vertical="top" wrapText="1"/>
    </xf>
    <xf numFmtId="4" fontId="7" fillId="0" borderId="67" xfId="0" applyNumberFormat="1" applyFont="1" applyFill="1" applyBorder="1" applyAlignment="1">
      <alignment horizontal="right" vertical="top" wrapText="1"/>
    </xf>
    <xf numFmtId="4" fontId="8" fillId="0" borderId="47" xfId="0" applyNumberFormat="1" applyFont="1" applyFill="1" applyBorder="1" applyAlignment="1">
      <alignment vertical="top" wrapText="1"/>
    </xf>
    <xf numFmtId="4" fontId="8" fillId="0" borderId="66" xfId="0" applyNumberFormat="1" applyFont="1" applyFill="1" applyBorder="1" applyAlignment="1">
      <alignment vertical="top" wrapText="1"/>
    </xf>
    <xf numFmtId="4" fontId="7" fillId="0" borderId="67" xfId="0" applyNumberFormat="1" applyFont="1" applyFill="1" applyBorder="1" applyAlignment="1">
      <alignment vertical="top" wrapText="1"/>
    </xf>
    <xf numFmtId="4" fontId="8" fillId="0" borderId="49" xfId="0" applyNumberFormat="1" applyFont="1" applyFill="1" applyBorder="1" applyAlignment="1">
      <alignment vertical="top" wrapText="1"/>
    </xf>
    <xf numFmtId="4" fontId="7" fillId="0" borderId="40" xfId="0" applyNumberFormat="1" applyFont="1" applyFill="1" applyBorder="1" applyAlignment="1">
      <alignment vertical="top" wrapText="1"/>
    </xf>
    <xf numFmtId="4" fontId="7" fillId="0" borderId="66" xfId="0" applyNumberFormat="1" applyFont="1" applyFill="1" applyBorder="1" applyAlignment="1">
      <alignment vertical="top" wrapText="1"/>
    </xf>
    <xf numFmtId="4" fontId="8" fillId="0" borderId="40" xfId="0" applyNumberFormat="1" applyFont="1" applyFill="1" applyBorder="1" applyAlignment="1">
      <alignment vertical="top" wrapText="1"/>
    </xf>
    <xf numFmtId="4" fontId="8" fillId="0" borderId="65" xfId="0" applyNumberFormat="1" applyFont="1" applyFill="1" applyBorder="1" applyAlignment="1">
      <alignment vertical="top" wrapText="1"/>
    </xf>
    <xf numFmtId="4" fontId="8" fillId="0" borderId="48" xfId="0" applyNumberFormat="1" applyFont="1" applyFill="1" applyBorder="1" applyAlignment="1">
      <alignment vertical="top" wrapText="1"/>
    </xf>
    <xf numFmtId="4" fontId="8" fillId="0" borderId="70" xfId="0" applyNumberFormat="1" applyFont="1" applyFill="1" applyBorder="1" applyAlignment="1">
      <alignment vertical="top" wrapText="1"/>
    </xf>
    <xf numFmtId="4" fontId="8" fillId="0" borderId="80" xfId="0" applyNumberFormat="1" applyFont="1" applyFill="1" applyBorder="1" applyAlignment="1">
      <alignment vertical="top" wrapText="1"/>
    </xf>
    <xf numFmtId="4" fontId="8" fillId="0" borderId="50" xfId="0" applyNumberFormat="1" applyFont="1" applyFill="1" applyBorder="1" applyAlignment="1">
      <alignment vertical="top" wrapText="1"/>
    </xf>
    <xf numFmtId="0" fontId="8" fillId="0" borderId="79" xfId="0" applyFont="1" applyFill="1" applyBorder="1" applyAlignment="1">
      <alignment vertical="top" wrapText="1"/>
    </xf>
    <xf numFmtId="0" fontId="8" fillId="0" borderId="65" xfId="0" applyFont="1" applyFill="1" applyBorder="1" applyAlignment="1">
      <alignment vertical="top" wrapText="1"/>
    </xf>
    <xf numFmtId="0" fontId="8" fillId="0" borderId="79" xfId="0" applyFont="1" applyFill="1" applyBorder="1" applyAlignment="1">
      <alignment horizontal="center" vertical="top" wrapText="1"/>
    </xf>
    <xf numFmtId="4" fontId="7" fillId="0" borderId="35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horizontal="right" vertical="top" wrapText="1"/>
    </xf>
    <xf numFmtId="4" fontId="7" fillId="0" borderId="14" xfId="0" applyNumberFormat="1" applyFont="1" applyFill="1" applyBorder="1" applyAlignment="1">
      <alignment vertical="top"/>
    </xf>
    <xf numFmtId="49" fontId="7" fillId="0" borderId="25" xfId="0" applyNumberFormat="1" applyFont="1" applyFill="1" applyBorder="1" applyAlignment="1">
      <alignment horizontal="right" vertical="top" wrapText="1" shrinkToFit="1"/>
    </xf>
    <xf numFmtId="4" fontId="7" fillId="0" borderId="41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Fill="1" applyBorder="1" applyAlignment="1">
      <alignment vertical="top"/>
    </xf>
    <xf numFmtId="49" fontId="7" fillId="0" borderId="23" xfId="0" applyNumberFormat="1" applyFont="1" applyFill="1" applyBorder="1" applyAlignment="1">
      <alignment horizontal="right" vertical="top" wrapText="1" shrinkToFit="1"/>
    </xf>
    <xf numFmtId="4" fontId="7" fillId="0" borderId="6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vertical="top"/>
    </xf>
    <xf numFmtId="4" fontId="7" fillId="0" borderId="62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4" fontId="7" fillId="0" borderId="4" xfId="0" applyNumberFormat="1" applyFont="1" applyFill="1" applyBorder="1" applyAlignment="1">
      <alignment vertical="top"/>
    </xf>
    <xf numFmtId="4" fontId="7" fillId="0" borderId="30" xfId="0" applyNumberFormat="1" applyFont="1" applyFill="1" applyBorder="1" applyAlignment="1">
      <alignment vertical="top"/>
    </xf>
    <xf numFmtId="4" fontId="8" fillId="0" borderId="54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vertical="top" wrapText="1"/>
    </xf>
    <xf numFmtId="4" fontId="8" fillId="0" borderId="79" xfId="0" applyNumberFormat="1" applyFont="1" applyFill="1" applyBorder="1" applyAlignment="1">
      <alignment vertical="top"/>
    </xf>
    <xf numFmtId="4" fontId="8" fillId="0" borderId="72" xfId="0" applyNumberFormat="1" applyFont="1" applyFill="1" applyBorder="1" applyAlignment="1">
      <alignment vertical="top" wrapText="1"/>
    </xf>
    <xf numFmtId="4" fontId="8" fillId="0" borderId="20" xfId="0" applyNumberFormat="1" applyFont="1" applyFill="1" applyBorder="1" applyAlignment="1">
      <alignment vertical="top"/>
    </xf>
    <xf numFmtId="49" fontId="24" fillId="0" borderId="28" xfId="0" applyNumberFormat="1" applyFont="1" applyFill="1" applyBorder="1" applyAlignment="1">
      <alignment horizontal="right" vertical="top" wrapText="1" shrinkToFit="1"/>
    </xf>
    <xf numFmtId="4" fontId="8" fillId="0" borderId="65" xfId="0" applyNumberFormat="1" applyFont="1" applyFill="1" applyBorder="1" applyAlignment="1">
      <alignment vertical="top"/>
    </xf>
    <xf numFmtId="4" fontId="8" fillId="0" borderId="64" xfId="0" applyNumberFormat="1" applyFont="1" applyFill="1" applyBorder="1" applyAlignment="1">
      <alignment vertical="top" wrapText="1"/>
    </xf>
    <xf numFmtId="4" fontId="8" fillId="0" borderId="64" xfId="0" applyNumberFormat="1" applyFont="1" applyFill="1" applyBorder="1" applyAlignment="1">
      <alignment vertical="top"/>
    </xf>
    <xf numFmtId="4" fontId="8" fillId="0" borderId="39" xfId="0" applyNumberFormat="1" applyFont="1" applyFill="1" applyBorder="1" applyAlignment="1">
      <alignment vertical="top" wrapText="1"/>
    </xf>
    <xf numFmtId="4" fontId="8" fillId="0" borderId="80" xfId="0" applyNumberFormat="1" applyFont="1" applyFill="1" applyBorder="1" applyAlignment="1">
      <alignment vertical="top"/>
    </xf>
    <xf numFmtId="0" fontId="8" fillId="0" borderId="38" xfId="0" applyFont="1" applyFill="1" applyBorder="1" applyAlignment="1">
      <alignment vertical="top" wrapText="1"/>
    </xf>
    <xf numFmtId="0" fontId="8" fillId="0" borderId="39" xfId="0" applyFont="1" applyFill="1" applyBorder="1" applyAlignment="1">
      <alignment vertical="top" wrapText="1"/>
    </xf>
    <xf numFmtId="4" fontId="8" fillId="0" borderId="32" xfId="0" applyNumberFormat="1" applyFont="1" applyFill="1" applyBorder="1" applyAlignment="1">
      <alignment vertical="top" wrapText="1"/>
    </xf>
    <xf numFmtId="0" fontId="8" fillId="0" borderId="55" xfId="0" applyFont="1" applyFill="1" applyBorder="1" applyAlignment="1">
      <alignment vertical="top" wrapText="1"/>
    </xf>
    <xf numFmtId="0" fontId="8" fillId="0" borderId="64" xfId="0" applyFont="1" applyFill="1" applyBorder="1" applyAlignment="1">
      <alignment vertical="top" wrapText="1"/>
    </xf>
    <xf numFmtId="4" fontId="8" fillId="0" borderId="55" xfId="0" applyNumberFormat="1" applyFont="1" applyFill="1" applyBorder="1" applyAlignment="1">
      <alignment vertical="top" wrapText="1"/>
    </xf>
    <xf numFmtId="4" fontId="7" fillId="0" borderId="64" xfId="0" applyNumberFormat="1" applyFont="1" applyFill="1" applyBorder="1" applyAlignment="1">
      <alignment vertical="top" wrapText="1"/>
    </xf>
    <xf numFmtId="4" fontId="7" fillId="0" borderId="31" xfId="0" applyNumberFormat="1" applyFont="1" applyFill="1" applyBorder="1" applyAlignment="1">
      <alignment vertical="top" wrapText="1"/>
    </xf>
    <xf numFmtId="0" fontId="8" fillId="0" borderId="80" xfId="0" applyFont="1" applyFill="1" applyBorder="1" applyAlignment="1">
      <alignment horizontal="center" vertical="top" wrapText="1"/>
    </xf>
    <xf numFmtId="4" fontId="7" fillId="0" borderId="49" xfId="0" applyNumberFormat="1" applyFont="1" applyFill="1" applyBorder="1" applyAlignment="1">
      <alignment vertical="top" wrapText="1"/>
    </xf>
    <xf numFmtId="4" fontId="7" fillId="0" borderId="52" xfId="0" applyNumberFormat="1" applyFont="1" applyFill="1" applyBorder="1" applyAlignment="1">
      <alignment vertical="top" wrapText="1"/>
    </xf>
    <xf numFmtId="4" fontId="8" fillId="0" borderId="65" xfId="0" applyNumberFormat="1" applyFont="1" applyFill="1" applyBorder="1" applyAlignment="1">
      <alignment horizontal="right" vertical="top" wrapText="1"/>
    </xf>
    <xf numFmtId="4" fontId="8" fillId="0" borderId="59" xfId="0" applyNumberFormat="1" applyFont="1" applyFill="1" applyBorder="1" applyAlignment="1">
      <alignment vertical="top" wrapText="1"/>
    </xf>
    <xf numFmtId="4" fontId="8" fillId="0" borderId="57" xfId="0" applyNumberFormat="1" applyFont="1" applyFill="1" applyBorder="1" applyAlignment="1">
      <alignment vertical="top" wrapText="1"/>
    </xf>
    <xf numFmtId="4" fontId="8" fillId="0" borderId="61" xfId="0" applyNumberFormat="1" applyFont="1" applyFill="1" applyBorder="1" applyAlignment="1">
      <alignment vertical="top" wrapText="1"/>
    </xf>
    <xf numFmtId="4" fontId="7" fillId="0" borderId="34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4" fontId="8" fillId="0" borderId="21" xfId="0" applyNumberFormat="1" applyFont="1" applyFill="1" applyBorder="1" applyAlignment="1">
      <alignment vertical="top" wrapText="1"/>
    </xf>
    <xf numFmtId="0" fontId="7" fillId="0" borderId="23" xfId="0" applyFont="1" applyFill="1" applyBorder="1" applyAlignment="1">
      <alignment horizontal="center" vertical="top" wrapText="1"/>
    </xf>
    <xf numFmtId="4" fontId="7" fillId="0" borderId="60" xfId="0" applyNumberFormat="1" applyFont="1" applyFill="1" applyBorder="1" applyAlignment="1">
      <alignment vertical="top" wrapText="1"/>
    </xf>
    <xf numFmtId="2" fontId="0" fillId="0" borderId="0" xfId="0" applyNumberFormat="1"/>
    <xf numFmtId="4" fontId="7" fillId="0" borderId="43" xfId="0" applyNumberFormat="1" applyFont="1" applyFill="1" applyBorder="1" applyAlignment="1">
      <alignment horizontal="right" vertical="top" wrapText="1"/>
    </xf>
    <xf numFmtId="4" fontId="7" fillId="0" borderId="75" xfId="0" applyNumberFormat="1" applyFont="1" applyFill="1" applyBorder="1" applyAlignment="1">
      <alignment horizontal="right" vertical="top" wrapText="1"/>
    </xf>
    <xf numFmtId="0" fontId="8" fillId="0" borderId="65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8" fillId="0" borderId="23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left" wrapText="1"/>
    </xf>
    <xf numFmtId="0" fontId="8" fillId="0" borderId="64" xfId="0" applyFont="1" applyBorder="1" applyAlignment="1">
      <alignment horizontal="center" vertical="top" wrapText="1"/>
    </xf>
    <xf numFmtId="4" fontId="8" fillId="0" borderId="60" xfId="0" applyNumberFormat="1" applyFont="1" applyFill="1" applyBorder="1" applyAlignment="1">
      <alignment horizontal="center" vertical="top" wrapText="1"/>
    </xf>
    <xf numFmtId="4" fontId="7" fillId="0" borderId="54" xfId="0" applyNumberFormat="1" applyFont="1" applyFill="1" applyBorder="1" applyAlignment="1">
      <alignment horizontal="center" vertical="top" wrapText="1"/>
    </xf>
    <xf numFmtId="3" fontId="7" fillId="0" borderId="54" xfId="0" applyNumberFormat="1" applyFont="1" applyFill="1" applyBorder="1" applyAlignment="1">
      <alignment horizontal="center" vertical="top" wrapText="1"/>
    </xf>
    <xf numFmtId="0" fontId="25" fillId="0" borderId="81" xfId="0" applyFont="1" applyFill="1" applyBorder="1" applyAlignment="1">
      <alignment horizontal="center" vertical="top" wrapText="1"/>
    </xf>
    <xf numFmtId="4" fontId="8" fillId="0" borderId="38" xfId="0" applyNumberFormat="1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vertical="top"/>
    </xf>
    <xf numFmtId="4" fontId="7" fillId="0" borderId="13" xfId="0" applyNumberFormat="1" applyFont="1" applyFill="1" applyBorder="1" applyAlignment="1">
      <alignment vertical="top"/>
    </xf>
    <xf numFmtId="4" fontId="8" fillId="0" borderId="24" xfId="0" applyNumberFormat="1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vertical="top" wrapText="1"/>
    </xf>
    <xf numFmtId="4" fontId="8" fillId="0" borderId="17" xfId="0" applyNumberFormat="1" applyFont="1" applyFill="1" applyBorder="1" applyAlignment="1">
      <alignment vertical="top" wrapText="1"/>
    </xf>
    <xf numFmtId="4" fontId="7" fillId="0" borderId="49" xfId="0" applyNumberFormat="1" applyFont="1" applyFill="1" applyBorder="1" applyAlignment="1">
      <alignment vertical="top"/>
    </xf>
    <xf numFmtId="4" fontId="8" fillId="0" borderId="57" xfId="0" applyNumberFormat="1" applyFont="1" applyFill="1" applyBorder="1" applyAlignment="1">
      <alignment horizontal="center" vertical="top" wrapText="1"/>
    </xf>
    <xf numFmtId="4" fontId="8" fillId="0" borderId="79" xfId="0" applyNumberFormat="1" applyFont="1" applyFill="1" applyBorder="1" applyAlignment="1">
      <alignment horizontal="center" vertical="center" wrapText="1"/>
    </xf>
    <xf numFmtId="4" fontId="8" fillId="0" borderId="65" xfId="0" applyNumberFormat="1" applyFont="1" applyFill="1" applyBorder="1" applyAlignment="1">
      <alignment horizontal="center" vertical="center" wrapText="1"/>
    </xf>
    <xf numFmtId="4" fontId="8" fillId="0" borderId="16" xfId="0" applyNumberFormat="1" applyFont="1" applyFill="1" applyBorder="1" applyAlignment="1">
      <alignment horizontal="center" vertical="center" wrapText="1"/>
    </xf>
    <xf numFmtId="4" fontId="8" fillId="0" borderId="56" xfId="0" applyNumberFormat="1" applyFont="1" applyFill="1" applyBorder="1" applyAlignment="1">
      <alignment horizontal="center" vertical="top" wrapText="1"/>
    </xf>
    <xf numFmtId="0" fontId="8" fillId="0" borderId="39" xfId="0" applyFont="1" applyBorder="1" applyAlignment="1">
      <alignment vertical="top" wrapText="1"/>
    </xf>
    <xf numFmtId="4" fontId="7" fillId="0" borderId="45" xfId="0" applyNumberFormat="1" applyFont="1" applyFill="1" applyBorder="1" applyAlignment="1">
      <alignment vertical="top"/>
    </xf>
    <xf numFmtId="4" fontId="7" fillId="0" borderId="66" xfId="0" applyNumberFormat="1" applyFont="1" applyFill="1" applyBorder="1" applyAlignment="1">
      <alignment vertical="top"/>
    </xf>
    <xf numFmtId="4" fontId="7" fillId="0" borderId="50" xfId="0" applyNumberFormat="1" applyFont="1" applyFill="1" applyBorder="1" applyAlignment="1">
      <alignment vertical="top"/>
    </xf>
    <xf numFmtId="4" fontId="7" fillId="0" borderId="42" xfId="0" applyNumberFormat="1" applyFont="1" applyFill="1" applyBorder="1" applyAlignment="1">
      <alignment vertical="top" wrapText="1"/>
    </xf>
    <xf numFmtId="4" fontId="7" fillId="0" borderId="35" xfId="0" applyNumberFormat="1" applyFont="1" applyFill="1" applyBorder="1" applyAlignment="1">
      <alignment vertical="top" wrapText="1"/>
    </xf>
    <xf numFmtId="4" fontId="7" fillId="0" borderId="41" xfId="0" applyNumberFormat="1" applyFont="1" applyFill="1" applyBorder="1" applyAlignment="1">
      <alignment vertical="top" wrapText="1"/>
    </xf>
    <xf numFmtId="0" fontId="8" fillId="9" borderId="11" xfId="0" applyFont="1" applyFill="1" applyBorder="1" applyAlignment="1">
      <alignment horizontal="left" vertical="top" wrapText="1"/>
    </xf>
    <xf numFmtId="4" fontId="8" fillId="0" borderId="16" xfId="0" applyNumberFormat="1" applyFont="1" applyFill="1" applyBorder="1" applyAlignment="1">
      <alignment vertical="top" wrapText="1"/>
    </xf>
    <xf numFmtId="4" fontId="8" fillId="0" borderId="20" xfId="0" applyNumberFormat="1" applyFont="1" applyFill="1" applyBorder="1" applyAlignment="1">
      <alignment horizontal="right" vertical="top" wrapText="1"/>
    </xf>
    <xf numFmtId="164" fontId="8" fillId="0" borderId="54" xfId="0" applyNumberFormat="1" applyFont="1" applyFill="1" applyBorder="1" applyAlignment="1">
      <alignment horizontal="center" vertical="top"/>
    </xf>
    <xf numFmtId="4" fontId="8" fillId="0" borderId="79" xfId="0" applyNumberFormat="1" applyFont="1" applyFill="1" applyBorder="1" applyAlignment="1">
      <alignment horizontal="center" vertical="top"/>
    </xf>
    <xf numFmtId="4" fontId="8" fillId="0" borderId="72" xfId="0" applyNumberFormat="1" applyFont="1" applyFill="1" applyBorder="1" applyAlignment="1">
      <alignment horizontal="center" vertical="top"/>
    </xf>
    <xf numFmtId="4" fontId="8" fillId="0" borderId="39" xfId="0" applyNumberFormat="1" applyFont="1" applyFill="1" applyBorder="1" applyAlignment="1">
      <alignment horizontal="center" vertical="top"/>
    </xf>
    <xf numFmtId="4" fontId="8" fillId="0" borderId="65" xfId="0" applyNumberFormat="1" applyFont="1" applyFill="1" applyBorder="1" applyAlignment="1">
      <alignment horizontal="center" vertical="top"/>
    </xf>
    <xf numFmtId="4" fontId="8" fillId="0" borderId="64" xfId="0" applyNumberFormat="1" applyFont="1" applyFill="1" applyBorder="1" applyAlignment="1">
      <alignment horizontal="center" vertical="top"/>
    </xf>
    <xf numFmtId="4" fontId="8" fillId="0" borderId="80" xfId="0" applyNumberFormat="1" applyFont="1" applyFill="1" applyBorder="1" applyAlignment="1">
      <alignment horizontal="center" vertical="top"/>
    </xf>
    <xf numFmtId="4" fontId="7" fillId="0" borderId="80" xfId="0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wrapText="1"/>
    </xf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4" fontId="8" fillId="0" borderId="38" xfId="0" applyNumberFormat="1" applyFont="1" applyFill="1" applyBorder="1" applyAlignment="1">
      <alignment horizontal="center" vertical="top" wrapText="1"/>
    </xf>
    <xf numFmtId="4" fontId="8" fillId="0" borderId="39" xfId="0" applyNumberFormat="1" applyFont="1" applyFill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center" vertical="top" wrapText="1"/>
    </xf>
    <xf numFmtId="4" fontId="8" fillId="0" borderId="64" xfId="0" applyNumberFormat="1" applyFont="1" applyFill="1" applyBorder="1" applyAlignment="1">
      <alignment horizontal="center" vertical="top" wrapText="1"/>
    </xf>
    <xf numFmtId="49" fontId="7" fillId="0" borderId="17" xfId="0" applyNumberFormat="1" applyFont="1" applyFill="1" applyBorder="1" applyAlignment="1">
      <alignment horizontal="left" vertical="top" wrapText="1" shrinkToFit="1"/>
    </xf>
    <xf numFmtId="0" fontId="8" fillId="0" borderId="11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4" fontId="8" fillId="0" borderId="72" xfId="0" applyNumberFormat="1" applyFont="1" applyFill="1" applyBorder="1" applyAlignment="1">
      <alignment horizontal="center" vertical="top" wrapText="1"/>
    </xf>
    <xf numFmtId="4" fontId="8" fillId="0" borderId="11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center" vertical="top" wrapText="1"/>
    </xf>
    <xf numFmtId="4" fontId="8" fillId="0" borderId="28" xfId="0" applyNumberFormat="1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65" xfId="0" applyFont="1" applyFill="1" applyBorder="1" applyAlignment="1">
      <alignment horizontal="center" vertical="top" wrapText="1"/>
    </xf>
    <xf numFmtId="4" fontId="8" fillId="0" borderId="36" xfId="0" applyNumberFormat="1" applyFont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4" fontId="8" fillId="0" borderId="65" xfId="0" applyNumberFormat="1" applyFont="1" applyFill="1" applyBorder="1" applyAlignment="1">
      <alignment horizontal="center" vertical="top" wrapText="1"/>
    </xf>
    <xf numFmtId="0" fontId="8" fillId="0" borderId="64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0" fontId="8" fillId="0" borderId="3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0" borderId="57" xfId="0" applyFont="1" applyBorder="1" applyAlignment="1">
      <alignment horizontal="left" vertical="top" wrapText="1"/>
    </xf>
    <xf numFmtId="4" fontId="8" fillId="0" borderId="79" xfId="0" applyNumberFormat="1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4" fontId="7" fillId="0" borderId="51" xfId="0" applyNumberFormat="1" applyFont="1" applyFill="1" applyBorder="1" applyAlignment="1">
      <alignment vertical="top"/>
    </xf>
    <xf numFmtId="4" fontId="7" fillId="0" borderId="34" xfId="0" applyNumberFormat="1" applyFont="1" applyFill="1" applyBorder="1" applyAlignment="1">
      <alignment vertical="top"/>
    </xf>
    <xf numFmtId="4" fontId="8" fillId="0" borderId="16" xfId="0" applyNumberFormat="1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 wrapText="1"/>
    </xf>
    <xf numFmtId="4" fontId="8" fillId="0" borderId="23" xfId="0" applyNumberFormat="1" applyFont="1" applyFill="1" applyBorder="1" applyAlignment="1">
      <alignment horizontal="center" vertical="top" wrapText="1"/>
    </xf>
    <xf numFmtId="4" fontId="8" fillId="0" borderId="80" xfId="0" applyNumberFormat="1" applyFont="1" applyFill="1" applyBorder="1" applyAlignment="1">
      <alignment horizontal="center"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vertical="top" wrapText="1"/>
    </xf>
    <xf numFmtId="4" fontId="7" fillId="0" borderId="38" xfId="0" applyNumberFormat="1" applyFont="1" applyFill="1" applyBorder="1" applyAlignment="1">
      <alignment vertical="top" wrapText="1"/>
    </xf>
    <xf numFmtId="4" fontId="8" fillId="0" borderId="11" xfId="0" applyNumberFormat="1" applyFont="1" applyFill="1" applyBorder="1" applyAlignment="1">
      <alignment vertical="top" wrapText="1"/>
    </xf>
    <xf numFmtId="4" fontId="8" fillId="0" borderId="55" xfId="0" applyNumberFormat="1" applyFont="1" applyFill="1" applyBorder="1" applyAlignment="1">
      <alignment horizontal="center" vertical="top"/>
    </xf>
    <xf numFmtId="4" fontId="8" fillId="0" borderId="16" xfId="0" applyNumberFormat="1" applyFont="1" applyFill="1" applyBorder="1" applyAlignment="1">
      <alignment horizontal="center" vertical="top"/>
    </xf>
    <xf numFmtId="4" fontId="8" fillId="0" borderId="20" xfId="0" applyNumberFormat="1" applyFont="1" applyFill="1" applyBorder="1" applyAlignment="1">
      <alignment horizontal="center" vertical="top"/>
    </xf>
    <xf numFmtId="4" fontId="8" fillId="0" borderId="20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0" borderId="59" xfId="0" applyNumberFormat="1" applyFont="1" applyFill="1" applyBorder="1" applyAlignment="1">
      <alignment horizontal="center"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2" fontId="8" fillId="0" borderId="16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 wrapText="1"/>
    </xf>
    <xf numFmtId="0" fontId="7" fillId="0" borderId="37" xfId="0" applyFont="1" applyFill="1" applyBorder="1" applyAlignment="1">
      <alignment horizontal="center" vertical="top" wrapText="1"/>
    </xf>
    <xf numFmtId="4" fontId="7" fillId="0" borderId="71" xfId="0" applyNumberFormat="1" applyFont="1" applyFill="1" applyBorder="1" applyAlignment="1">
      <alignment horizontal="right" vertical="top" wrapText="1"/>
    </xf>
    <xf numFmtId="4" fontId="8" fillId="0" borderId="70" xfId="0" applyNumberFormat="1" applyFont="1" applyFill="1" applyBorder="1" applyAlignment="1">
      <alignment horizontal="right" vertical="top" wrapText="1"/>
    </xf>
    <xf numFmtId="4" fontId="8" fillId="0" borderId="69" xfId="0" applyNumberFormat="1" applyFont="1" applyFill="1" applyBorder="1" applyAlignment="1">
      <alignment horizontal="right" vertical="top" wrapText="1"/>
    </xf>
    <xf numFmtId="4" fontId="7" fillId="0" borderId="77" xfId="0" applyNumberFormat="1" applyFont="1" applyFill="1" applyBorder="1" applyAlignment="1">
      <alignment horizontal="right" vertical="top" wrapText="1"/>
    </xf>
    <xf numFmtId="4" fontId="7" fillId="0" borderId="71" xfId="0" applyNumberFormat="1" applyFont="1" applyFill="1" applyBorder="1" applyAlignment="1">
      <alignment vertical="top" wrapText="1"/>
    </xf>
    <xf numFmtId="4" fontId="7" fillId="0" borderId="70" xfId="0" applyNumberFormat="1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vertical="top" wrapText="1"/>
    </xf>
    <xf numFmtId="4" fontId="8" fillId="0" borderId="69" xfId="0" applyNumberFormat="1" applyFont="1" applyFill="1" applyBorder="1" applyAlignment="1">
      <alignment vertical="top" wrapText="1"/>
    </xf>
    <xf numFmtId="4" fontId="8" fillId="0" borderId="36" xfId="0" applyNumberFormat="1" applyFont="1" applyFill="1" applyBorder="1" applyAlignment="1">
      <alignment vertical="top" wrapText="1"/>
    </xf>
    <xf numFmtId="4" fontId="8" fillId="0" borderId="77" xfId="0" applyNumberFormat="1" applyFont="1" applyFill="1" applyBorder="1" applyAlignment="1">
      <alignment vertical="top" wrapText="1"/>
    </xf>
    <xf numFmtId="4" fontId="7" fillId="0" borderId="54" xfId="0" applyNumberFormat="1" applyFont="1" applyFill="1" applyBorder="1" applyAlignment="1">
      <alignment vertical="top"/>
    </xf>
    <xf numFmtId="4" fontId="7" fillId="0" borderId="56" xfId="0" applyNumberFormat="1" applyFont="1" applyFill="1" applyBorder="1" applyAlignment="1">
      <alignment vertical="top"/>
    </xf>
    <xf numFmtId="4" fontId="8" fillId="0" borderId="73" xfId="0" applyNumberFormat="1" applyFont="1" applyFill="1" applyBorder="1" applyAlignment="1">
      <alignment vertical="top" wrapText="1"/>
    </xf>
    <xf numFmtId="4" fontId="7" fillId="0" borderId="20" xfId="0" applyNumberFormat="1" applyFont="1" applyFill="1" applyBorder="1" applyAlignment="1">
      <alignment vertical="top" wrapText="1"/>
    </xf>
    <xf numFmtId="4" fontId="7" fillId="0" borderId="36" xfId="0" applyNumberFormat="1" applyFont="1" applyFill="1" applyBorder="1" applyAlignment="1">
      <alignment vertical="top" wrapText="1"/>
    </xf>
    <xf numFmtId="4" fontId="7" fillId="0" borderId="73" xfId="0" applyNumberFormat="1" applyFont="1" applyFill="1" applyBorder="1" applyAlignment="1">
      <alignment vertical="top" wrapText="1"/>
    </xf>
    <xf numFmtId="4" fontId="8" fillId="0" borderId="74" xfId="0" applyNumberFormat="1" applyFont="1" applyFill="1" applyBorder="1" applyAlignment="1">
      <alignment vertical="top" wrapText="1"/>
    </xf>
    <xf numFmtId="4" fontId="8" fillId="0" borderId="28" xfId="0" applyNumberFormat="1" applyFont="1" applyFill="1" applyBorder="1" applyAlignment="1">
      <alignment vertical="top" wrapText="1"/>
    </xf>
    <xf numFmtId="4" fontId="8" fillId="0" borderId="23" xfId="0" applyNumberFormat="1" applyFont="1" applyFill="1" applyBorder="1" applyAlignment="1">
      <alignment vertical="top" wrapText="1"/>
    </xf>
    <xf numFmtId="4" fontId="7" fillId="0" borderId="16" xfId="0" applyNumberFormat="1" applyFont="1" applyFill="1" applyBorder="1" applyAlignment="1">
      <alignment horizontal="right" vertical="top" wrapText="1"/>
    </xf>
    <xf numFmtId="4" fontId="8" fillId="0" borderId="36" xfId="0" applyNumberFormat="1" applyFont="1" applyFill="1" applyBorder="1" applyAlignment="1">
      <alignment horizontal="right" vertical="top" wrapText="1"/>
    </xf>
    <xf numFmtId="4" fontId="8" fillId="0" borderId="23" xfId="0" applyNumberFormat="1" applyFont="1" applyFill="1" applyBorder="1" applyAlignment="1">
      <alignment horizontal="right" vertical="top" wrapText="1"/>
    </xf>
    <xf numFmtId="4" fontId="7" fillId="0" borderId="23" xfId="0" applyNumberFormat="1" applyFont="1" applyFill="1" applyBorder="1" applyAlignment="1">
      <alignment vertical="top" wrapText="1"/>
    </xf>
    <xf numFmtId="4" fontId="7" fillId="0" borderId="11" xfId="0" applyNumberFormat="1" applyFont="1" applyFill="1" applyBorder="1" applyAlignment="1">
      <alignment vertical="top" wrapText="1"/>
    </xf>
    <xf numFmtId="4" fontId="7" fillId="0" borderId="28" xfId="0" applyNumberFormat="1" applyFont="1" applyFill="1" applyBorder="1" applyAlignment="1">
      <alignment vertical="top" wrapText="1"/>
    </xf>
    <xf numFmtId="4" fontId="7" fillId="0" borderId="74" xfId="0" applyNumberFormat="1" applyFont="1" applyFill="1" applyBorder="1" applyAlignment="1">
      <alignment vertical="top" wrapText="1"/>
    </xf>
    <xf numFmtId="4" fontId="7" fillId="0" borderId="51" xfId="0" applyNumberFormat="1" applyFont="1" applyFill="1" applyBorder="1" applyAlignment="1">
      <alignment vertical="top" wrapText="1"/>
    </xf>
    <xf numFmtId="0" fontId="7" fillId="0" borderId="76" xfId="0" applyFont="1" applyFill="1" applyBorder="1" applyAlignment="1">
      <alignment horizontal="center" vertical="top" wrapText="1"/>
    </xf>
    <xf numFmtId="4" fontId="7" fillId="0" borderId="69" xfId="0" applyNumberFormat="1" applyFont="1" applyFill="1" applyBorder="1" applyAlignment="1">
      <alignment vertical="top" wrapText="1"/>
    </xf>
    <xf numFmtId="4" fontId="7" fillId="0" borderId="24" xfId="0" applyNumberFormat="1" applyFont="1" applyFill="1" applyBorder="1" applyAlignment="1">
      <alignment vertical="top" wrapText="1"/>
    </xf>
    <xf numFmtId="0" fontId="7" fillId="0" borderId="39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4" fontId="8" fillId="0" borderId="11" xfId="0" applyNumberFormat="1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4" fontId="8" fillId="0" borderId="11" xfId="0" applyNumberFormat="1" applyFont="1" applyFill="1" applyBorder="1" applyAlignment="1">
      <alignment horizontal="right" vertical="top" wrapText="1"/>
    </xf>
    <xf numFmtId="4" fontId="8" fillId="0" borderId="16" xfId="0" applyNumberFormat="1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horizontal="right"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vertical="top" wrapText="1"/>
    </xf>
    <xf numFmtId="4" fontId="7" fillId="9" borderId="79" xfId="0" applyNumberFormat="1" applyFont="1" applyFill="1" applyBorder="1" applyAlignment="1">
      <alignment vertical="top" wrapText="1"/>
    </xf>
    <xf numFmtId="4" fontId="8" fillId="9" borderId="65" xfId="0" applyNumberFormat="1" applyFont="1" applyFill="1" applyBorder="1" applyAlignment="1">
      <alignment horizontal="center" vertical="top" wrapText="1"/>
    </xf>
    <xf numFmtId="4" fontId="8" fillId="9" borderId="26" xfId="0" applyNumberFormat="1" applyFont="1" applyFill="1" applyBorder="1" applyAlignment="1">
      <alignment vertical="top" wrapText="1"/>
    </xf>
    <xf numFmtId="49" fontId="8" fillId="5" borderId="24" xfId="0" applyNumberFormat="1" applyFont="1" applyFill="1" applyBorder="1" applyAlignment="1">
      <alignment horizontal="center" vertical="top" shrinkToFit="1"/>
    </xf>
    <xf numFmtId="49" fontId="8" fillId="5" borderId="25" xfId="0" applyNumberFormat="1" applyFont="1" applyFill="1" applyBorder="1" applyAlignment="1">
      <alignment horizontal="center" vertical="top" shrinkToFit="1"/>
    </xf>
    <xf numFmtId="49" fontId="8" fillId="5" borderId="17" xfId="0" applyNumberFormat="1" applyFont="1" applyFill="1" applyBorder="1" applyAlignment="1">
      <alignment horizontal="center" vertical="top" shrinkToFit="1"/>
    </xf>
    <xf numFmtId="49" fontId="7" fillId="2" borderId="24" xfId="0" applyNumberFormat="1" applyFont="1" applyFill="1" applyBorder="1" applyAlignment="1">
      <alignment horizontal="left" vertical="top" wrapText="1" shrinkToFit="1"/>
    </xf>
    <xf numFmtId="49" fontId="7" fillId="2" borderId="25" xfId="0" applyNumberFormat="1" applyFont="1" applyFill="1" applyBorder="1" applyAlignment="1">
      <alignment horizontal="left" vertical="top" wrapText="1" shrinkToFit="1"/>
    </xf>
    <xf numFmtId="49" fontId="7" fillId="2" borderId="17" xfId="0" applyNumberFormat="1" applyFont="1" applyFill="1" applyBorder="1" applyAlignment="1">
      <alignment horizontal="left" vertical="top" wrapText="1" shrinkToFit="1"/>
    </xf>
    <xf numFmtId="49" fontId="7" fillId="2" borderId="24" xfId="0" applyNumberFormat="1" applyFont="1" applyFill="1" applyBorder="1" applyAlignment="1">
      <alignment horizontal="center" vertical="top" wrapText="1" shrinkToFit="1"/>
    </xf>
    <xf numFmtId="49" fontId="7" fillId="2" borderId="25" xfId="0" applyNumberFormat="1" applyFont="1" applyFill="1" applyBorder="1" applyAlignment="1">
      <alignment horizontal="center" vertical="top" wrapText="1" shrinkToFit="1"/>
    </xf>
    <xf numFmtId="49" fontId="7" fillId="2" borderId="17" xfId="0" applyNumberFormat="1" applyFont="1" applyFill="1" applyBorder="1" applyAlignment="1">
      <alignment horizontal="center" vertical="top" wrapText="1" shrinkToFit="1"/>
    </xf>
    <xf numFmtId="49" fontId="6" fillId="2" borderId="24" xfId="0" applyNumberFormat="1" applyFont="1" applyFill="1" applyBorder="1" applyAlignment="1">
      <alignment horizontal="center" vertical="top" wrapText="1" shrinkToFit="1"/>
    </xf>
    <xf numFmtId="49" fontId="6" fillId="2" borderId="25" xfId="0" applyNumberFormat="1" applyFont="1" applyFill="1" applyBorder="1" applyAlignment="1">
      <alignment horizontal="center" vertical="top" wrapText="1" shrinkToFit="1"/>
    </xf>
    <xf numFmtId="49" fontId="6" fillId="2" borderId="17" xfId="0" applyNumberFormat="1" applyFont="1" applyFill="1" applyBorder="1" applyAlignment="1">
      <alignment horizontal="center" vertical="top" wrapText="1" shrinkToFit="1"/>
    </xf>
    <xf numFmtId="49" fontId="8" fillId="5" borderId="24" xfId="0" applyNumberFormat="1" applyFont="1" applyFill="1" applyBorder="1" applyAlignment="1">
      <alignment horizontal="center" vertical="top" wrapText="1" shrinkToFit="1"/>
    </xf>
    <xf numFmtId="49" fontId="8" fillId="5" borderId="17" xfId="0" applyNumberFormat="1" applyFont="1" applyFill="1" applyBorder="1" applyAlignment="1">
      <alignment horizontal="center" vertical="top" wrapText="1" shrinkToFit="1"/>
    </xf>
    <xf numFmtId="0" fontId="8" fillId="0" borderId="24" xfId="0" applyFont="1" applyFill="1" applyBorder="1" applyAlignment="1">
      <alignment horizontal="center" vertical="top" wrapText="1"/>
    </xf>
    <xf numFmtId="0" fontId="8" fillId="0" borderId="17" xfId="0" applyFont="1" applyFill="1" applyBorder="1" applyAlignment="1">
      <alignment horizontal="center" vertical="top" wrapText="1"/>
    </xf>
    <xf numFmtId="49" fontId="19" fillId="5" borderId="44" xfId="0" applyNumberFormat="1" applyFont="1" applyFill="1" applyBorder="1" applyAlignment="1">
      <alignment horizontal="center" vertical="top" wrapText="1" shrinkToFit="1"/>
    </xf>
    <xf numFmtId="49" fontId="8" fillId="5" borderId="25" xfId="0" applyNumberFormat="1" applyFont="1" applyFill="1" applyBorder="1" applyAlignment="1">
      <alignment horizontal="center" vertical="top" wrapText="1" shrinkToFit="1"/>
    </xf>
    <xf numFmtId="0" fontId="7" fillId="0" borderId="24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7" fillId="0" borderId="17" xfId="0" applyFont="1" applyFill="1" applyBorder="1" applyAlignment="1">
      <alignment horizontal="center" vertical="top" wrapText="1"/>
    </xf>
    <xf numFmtId="49" fontId="7" fillId="0" borderId="58" xfId="0" applyNumberFormat="1" applyFont="1" applyFill="1" applyBorder="1" applyAlignment="1">
      <alignment horizontal="center" vertical="top" wrapText="1" shrinkToFit="1"/>
    </xf>
    <xf numFmtId="49" fontId="7" fillId="0" borderId="0" xfId="0" applyNumberFormat="1" applyFont="1" applyFill="1" applyBorder="1" applyAlignment="1">
      <alignment horizontal="center" vertical="top" wrapText="1" shrinkToFit="1"/>
    </xf>
    <xf numFmtId="49" fontId="7" fillId="0" borderId="62" xfId="0" applyNumberFormat="1" applyFont="1" applyFill="1" applyBorder="1" applyAlignment="1">
      <alignment horizontal="center" vertical="top" wrapText="1" shrinkToFit="1"/>
    </xf>
    <xf numFmtId="0" fontId="8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left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49" fontId="6" fillId="2" borderId="24" xfId="0" applyNumberFormat="1" applyFont="1" applyFill="1" applyBorder="1" applyAlignment="1">
      <alignment horizontal="left" vertical="top" wrapText="1" shrinkToFit="1"/>
    </xf>
    <xf numFmtId="49" fontId="6" fillId="2" borderId="25" xfId="0" applyNumberFormat="1" applyFont="1" applyFill="1" applyBorder="1" applyAlignment="1">
      <alignment horizontal="left" vertical="top" wrapText="1" shrinkToFit="1"/>
    </xf>
    <xf numFmtId="49" fontId="6" fillId="2" borderId="17" xfId="0" applyNumberFormat="1" applyFont="1" applyFill="1" applyBorder="1" applyAlignment="1">
      <alignment horizontal="left" vertical="top" wrapText="1" shrinkToFit="1"/>
    </xf>
    <xf numFmtId="0" fontId="4" fillId="0" borderId="38" xfId="0" applyFont="1" applyFill="1" applyBorder="1" applyAlignment="1">
      <alignment horizontal="center" vertical="top" wrapText="1"/>
    </xf>
    <xf numFmtId="0" fontId="4" fillId="0" borderId="55" xfId="0" applyFont="1" applyFill="1" applyBorder="1" applyAlignment="1">
      <alignment horizontal="center" vertical="top" wrapText="1"/>
    </xf>
    <xf numFmtId="49" fontId="6" fillId="6" borderId="24" xfId="0" applyNumberFormat="1" applyFont="1" applyFill="1" applyBorder="1" applyAlignment="1">
      <alignment horizontal="left" vertical="top" wrapText="1" shrinkToFit="1"/>
    </xf>
    <xf numFmtId="49" fontId="6" fillId="6" borderId="25" xfId="0" applyNumberFormat="1" applyFont="1" applyFill="1" applyBorder="1" applyAlignment="1">
      <alignment horizontal="left" vertical="top" wrapText="1" shrinkToFit="1"/>
    </xf>
    <xf numFmtId="49" fontId="6" fillId="6" borderId="17" xfId="0" applyNumberFormat="1" applyFont="1" applyFill="1" applyBorder="1" applyAlignment="1">
      <alignment horizontal="left" vertical="top" wrapText="1" shrinkToFit="1"/>
    </xf>
    <xf numFmtId="49" fontId="6" fillId="6" borderId="24" xfId="0" applyNumberFormat="1" applyFont="1" applyFill="1" applyBorder="1" applyAlignment="1">
      <alignment horizontal="center" vertical="top" wrapText="1" shrinkToFit="1"/>
    </xf>
    <xf numFmtId="49" fontId="6" fillId="6" borderId="25" xfId="0" applyNumberFormat="1" applyFont="1" applyFill="1" applyBorder="1" applyAlignment="1">
      <alignment horizontal="center" vertical="top" wrapText="1" shrinkToFit="1"/>
    </xf>
    <xf numFmtId="49" fontId="6" fillId="6" borderId="17" xfId="0" applyNumberFormat="1" applyFont="1" applyFill="1" applyBorder="1" applyAlignment="1">
      <alignment horizontal="center" vertical="top" wrapText="1" shrinkToFit="1"/>
    </xf>
    <xf numFmtId="0" fontId="19" fillId="0" borderId="24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49" fontId="5" fillId="5" borderId="24" xfId="0" applyNumberFormat="1" applyFont="1" applyFill="1" applyBorder="1" applyAlignment="1">
      <alignment horizontal="center" vertical="top" wrapText="1" shrinkToFit="1"/>
    </xf>
    <xf numFmtId="49" fontId="5" fillId="5" borderId="25" xfId="0" applyNumberFormat="1" applyFont="1" applyFill="1" applyBorder="1" applyAlignment="1">
      <alignment horizontal="center" vertical="top" wrapText="1" shrinkToFit="1"/>
    </xf>
    <xf numFmtId="49" fontId="5" fillId="5" borderId="17" xfId="0" applyNumberFormat="1" applyFont="1" applyFill="1" applyBorder="1" applyAlignment="1">
      <alignment horizontal="center" vertical="top" wrapText="1" shrinkToFi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7" fillId="2" borderId="24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49" fontId="8" fillId="5" borderId="76" xfId="0" applyNumberFormat="1" applyFont="1" applyFill="1" applyBorder="1" applyAlignment="1">
      <alignment horizontal="center" vertical="top" wrapText="1" shrinkToFit="1"/>
    </xf>
    <xf numFmtId="49" fontId="8" fillId="5" borderId="77" xfId="0" applyNumberFormat="1" applyFont="1" applyFill="1" applyBorder="1" applyAlignment="1">
      <alignment horizontal="center" vertical="top" wrapText="1" shrinkToFit="1"/>
    </xf>
    <xf numFmtId="0" fontId="17" fillId="0" borderId="54" xfId="0" applyFont="1" applyBorder="1" applyAlignment="1">
      <alignment horizontal="center" vertical="top" wrapText="1"/>
    </xf>
    <xf numFmtId="0" fontId="17" fillId="0" borderId="53" xfId="0" applyFont="1" applyBorder="1" applyAlignment="1">
      <alignment horizontal="center" vertical="top" wrapText="1"/>
    </xf>
    <xf numFmtId="0" fontId="17" fillId="0" borderId="37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" fontId="8" fillId="0" borderId="24" xfId="0" applyNumberFormat="1" applyFont="1" applyFill="1" applyBorder="1" applyAlignment="1">
      <alignment horizontal="left" vertical="top" wrapText="1"/>
    </xf>
    <xf numFmtId="4" fontId="8" fillId="0" borderId="25" xfId="0" applyNumberFormat="1" applyFont="1" applyFill="1" applyBorder="1" applyAlignment="1">
      <alignment horizontal="left" vertical="top" wrapText="1"/>
    </xf>
    <xf numFmtId="4" fontId="8" fillId="0" borderId="17" xfId="0" applyNumberFormat="1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4" fontId="8" fillId="0" borderId="72" xfId="0" applyNumberFormat="1" applyFont="1" applyFill="1" applyBorder="1" applyAlignment="1">
      <alignment horizontal="center" vertical="top" wrapText="1"/>
    </xf>
    <xf numFmtId="4" fontId="8" fillId="0" borderId="55" xfId="0" applyNumberFormat="1" applyFont="1" applyFill="1" applyBorder="1" applyAlignment="1">
      <alignment horizontal="center" vertical="top" wrapText="1"/>
    </xf>
    <xf numFmtId="2" fontId="8" fillId="0" borderId="11" xfId="0" applyNumberFormat="1" applyFont="1" applyFill="1" applyBorder="1" applyAlignment="1">
      <alignment horizontal="center" vertical="top" wrapText="1"/>
    </xf>
    <xf numFmtId="2" fontId="8" fillId="0" borderId="17" xfId="0" applyNumberFormat="1" applyFont="1" applyFill="1" applyBorder="1" applyAlignment="1">
      <alignment horizontal="center" vertical="top" wrapText="1"/>
    </xf>
    <xf numFmtId="4" fontId="8" fillId="0" borderId="38" xfId="0" applyNumberFormat="1" applyFont="1" applyFill="1" applyBorder="1" applyAlignment="1">
      <alignment horizontal="center" vertical="top" wrapText="1"/>
    </xf>
    <xf numFmtId="4" fontId="8" fillId="0" borderId="39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center" vertical="top" wrapText="1"/>
    </xf>
    <xf numFmtId="4" fontId="8" fillId="0" borderId="25" xfId="0" applyNumberFormat="1" applyFont="1" applyFill="1" applyBorder="1" applyAlignment="1">
      <alignment horizontal="center" vertical="top" wrapText="1"/>
    </xf>
    <xf numFmtId="4" fontId="8" fillId="0" borderId="17" xfId="0" applyNumberFormat="1" applyFont="1" applyFill="1" applyBorder="1" applyAlignment="1">
      <alignment horizontal="center" vertical="top" wrapText="1"/>
    </xf>
    <xf numFmtId="49" fontId="8" fillId="0" borderId="24" xfId="0" applyNumberFormat="1" applyFont="1" applyFill="1" applyBorder="1" applyAlignment="1">
      <alignment horizontal="left" vertical="top" wrapText="1"/>
    </xf>
    <xf numFmtId="49" fontId="8" fillId="0" borderId="25" xfId="0" applyNumberFormat="1" applyFont="1" applyFill="1" applyBorder="1" applyAlignment="1">
      <alignment horizontal="left" vertical="top" wrapText="1"/>
    </xf>
    <xf numFmtId="49" fontId="8" fillId="0" borderId="17" xfId="0" applyNumberFormat="1" applyFont="1" applyFill="1" applyBorder="1" applyAlignment="1">
      <alignment horizontal="left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49" fontId="8" fillId="0" borderId="24" xfId="0" applyNumberFormat="1" applyFont="1" applyFill="1" applyBorder="1" applyAlignment="1">
      <alignment horizontal="left" vertical="top" wrapText="1" shrinkToFit="1"/>
    </xf>
    <xf numFmtId="49" fontId="8" fillId="0" borderId="25" xfId="0" applyNumberFormat="1" applyFont="1" applyFill="1" applyBorder="1" applyAlignment="1">
      <alignment horizontal="left" vertical="top" wrapText="1" shrinkToFit="1"/>
    </xf>
    <xf numFmtId="49" fontId="8" fillId="0" borderId="17" xfId="0" applyNumberFormat="1" applyFont="1" applyFill="1" applyBorder="1" applyAlignment="1">
      <alignment horizontal="left" vertical="top" wrapText="1" shrinkToFit="1"/>
    </xf>
    <xf numFmtId="4" fontId="8" fillId="0" borderId="11" xfId="0" applyNumberFormat="1" applyFont="1" applyFill="1" applyBorder="1" applyAlignment="1">
      <alignment horizontal="right" vertical="top" wrapText="1"/>
    </xf>
    <xf numFmtId="4" fontId="8" fillId="0" borderId="25" xfId="0" applyNumberFormat="1" applyFont="1" applyFill="1" applyBorder="1" applyAlignment="1">
      <alignment horizontal="right" vertical="top" wrapText="1"/>
    </xf>
    <xf numFmtId="4" fontId="8" fillId="0" borderId="17" xfId="0" applyNumberFormat="1" applyFont="1" applyFill="1" applyBorder="1" applyAlignment="1">
      <alignment horizontal="right" vertical="top" wrapText="1"/>
    </xf>
    <xf numFmtId="0" fontId="8" fillId="0" borderId="28" xfId="0" applyFont="1" applyFill="1" applyBorder="1" applyAlignment="1">
      <alignment horizontal="left" vertical="top" wrapText="1"/>
    </xf>
    <xf numFmtId="4" fontId="8" fillId="0" borderId="52" xfId="0" applyNumberFormat="1" applyFont="1" applyFill="1" applyBorder="1" applyAlignment="1">
      <alignment horizontal="right" vertical="top" wrapText="1"/>
    </xf>
    <xf numFmtId="4" fontId="8" fillId="0" borderId="44" xfId="0" applyNumberFormat="1" applyFont="1" applyFill="1" applyBorder="1" applyAlignment="1">
      <alignment horizontal="right" vertical="top" wrapText="1"/>
    </xf>
    <xf numFmtId="4" fontId="8" fillId="0" borderId="51" xfId="0" applyNumberFormat="1" applyFont="1" applyFill="1" applyBorder="1" applyAlignment="1">
      <alignment horizontal="right" vertical="top" wrapText="1"/>
    </xf>
    <xf numFmtId="4" fontId="8" fillId="0" borderId="26" xfId="0" applyNumberFormat="1" applyFont="1" applyFill="1" applyBorder="1" applyAlignment="1">
      <alignment horizontal="right" vertical="top" wrapText="1"/>
    </xf>
    <xf numFmtId="4" fontId="8" fillId="0" borderId="32" xfId="0" applyNumberFormat="1" applyFont="1" applyFill="1" applyBorder="1" applyAlignment="1">
      <alignment horizontal="right" vertical="top" wrapText="1"/>
    </xf>
    <xf numFmtId="4" fontId="8" fillId="0" borderId="31" xfId="0" applyNumberFormat="1" applyFont="1" applyFill="1" applyBorder="1" applyAlignment="1">
      <alignment horizontal="right" vertical="top" wrapText="1"/>
    </xf>
    <xf numFmtId="4" fontId="8" fillId="0" borderId="34" xfId="0" applyNumberFormat="1" applyFont="1" applyFill="1" applyBorder="1" applyAlignment="1">
      <alignment horizontal="right" vertical="top" wrapText="1"/>
    </xf>
    <xf numFmtId="4" fontId="8" fillId="0" borderId="78" xfId="0" applyNumberFormat="1" applyFont="1" applyFill="1" applyBorder="1" applyAlignment="1">
      <alignment horizontal="right" vertical="top" wrapText="1"/>
    </xf>
    <xf numFmtId="4" fontId="8" fillId="0" borderId="28" xfId="0" applyNumberFormat="1" applyFont="1" applyFill="1" applyBorder="1" applyAlignment="1">
      <alignment horizontal="right" vertical="top" wrapText="1"/>
    </xf>
    <xf numFmtId="4" fontId="8" fillId="0" borderId="52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4" fontId="8" fillId="0" borderId="51" xfId="0" applyNumberFormat="1" applyFont="1" applyFill="1" applyBorder="1" applyAlignment="1">
      <alignment vertical="top" wrapText="1"/>
    </xf>
    <xf numFmtId="4" fontId="8" fillId="0" borderId="16" xfId="0" applyNumberFormat="1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 wrapText="1"/>
    </xf>
    <xf numFmtId="4" fontId="8" fillId="0" borderId="23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62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4" fontId="8" fillId="0" borderId="79" xfId="0" applyNumberFormat="1" applyFont="1" applyFill="1" applyBorder="1" applyAlignment="1">
      <alignment horizontal="center" vertical="top" wrapText="1"/>
    </xf>
    <xf numFmtId="4" fontId="8" fillId="0" borderId="65" xfId="0" applyNumberFormat="1" applyFont="1" applyFill="1" applyBorder="1" applyAlignment="1">
      <alignment horizontal="center" vertical="top" wrapText="1"/>
    </xf>
    <xf numFmtId="4" fontId="8" fillId="0" borderId="80" xfId="0" applyNumberFormat="1" applyFont="1" applyFill="1" applyBorder="1" applyAlignment="1">
      <alignment horizontal="center" vertical="top" wrapText="1"/>
    </xf>
    <xf numFmtId="4" fontId="8" fillId="0" borderId="11" xfId="0" applyNumberFormat="1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4" fontId="8" fillId="0" borderId="64" xfId="0" applyNumberFormat="1" applyFont="1" applyFill="1" applyBorder="1" applyAlignment="1">
      <alignment horizontal="center" vertical="top" wrapText="1"/>
    </xf>
    <xf numFmtId="49" fontId="8" fillId="9" borderId="25" xfId="0" applyNumberFormat="1" applyFont="1" applyFill="1" applyBorder="1" applyAlignment="1">
      <alignment horizontal="left" vertical="top" wrapText="1" shrinkToFit="1"/>
    </xf>
    <xf numFmtId="49" fontId="8" fillId="9" borderId="17" xfId="0" applyNumberFormat="1" applyFont="1" applyFill="1" applyBorder="1" applyAlignment="1">
      <alignment horizontal="left" vertical="top" wrapText="1" shrinkToFit="1"/>
    </xf>
    <xf numFmtId="49" fontId="8" fillId="0" borderId="16" xfId="0" applyNumberFormat="1" applyFont="1" applyFill="1" applyBorder="1" applyAlignment="1">
      <alignment horizontal="left" vertical="top" wrapText="1" shrinkToFit="1"/>
    </xf>
    <xf numFmtId="49" fontId="8" fillId="0" borderId="20" xfId="0" applyNumberFormat="1" applyFont="1" applyFill="1" applyBorder="1" applyAlignment="1">
      <alignment horizontal="left" vertical="top" wrapText="1" shrinkToFit="1"/>
    </xf>
    <xf numFmtId="49" fontId="8" fillId="0" borderId="23" xfId="0" applyNumberFormat="1" applyFont="1" applyFill="1" applyBorder="1" applyAlignment="1">
      <alignment horizontal="left" vertical="top" wrapText="1" shrinkToFit="1"/>
    </xf>
    <xf numFmtId="4" fontId="7" fillId="0" borderId="39" xfId="0" applyNumberFormat="1" applyFont="1" applyFill="1" applyBorder="1" applyAlignment="1">
      <alignment horizontal="center" vertical="top" wrapText="1"/>
    </xf>
    <xf numFmtId="4" fontId="7" fillId="0" borderId="55" xfId="0" applyNumberFormat="1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75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78" xfId="0" applyFont="1" applyFill="1" applyBorder="1" applyAlignment="1">
      <alignment horizontal="center" vertical="top" wrapText="1"/>
    </xf>
    <xf numFmtId="49" fontId="7" fillId="0" borderId="24" xfId="0" applyNumberFormat="1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>
      <alignment horizontal="left" vertical="top" wrapText="1"/>
    </xf>
    <xf numFmtId="49" fontId="7" fillId="0" borderId="17" xfId="0" applyNumberFormat="1" applyFont="1" applyFill="1" applyBorder="1" applyAlignment="1">
      <alignment horizontal="left" vertical="top" wrapText="1"/>
    </xf>
    <xf numFmtId="4" fontId="8" fillId="0" borderId="28" xfId="0" applyNumberFormat="1" applyFont="1" applyFill="1" applyBorder="1" applyAlignment="1">
      <alignment horizontal="center" vertical="top" wrapText="1"/>
    </xf>
    <xf numFmtId="49" fontId="7" fillId="9" borderId="24" xfId="0" applyNumberFormat="1" applyFont="1" applyFill="1" applyBorder="1" applyAlignment="1">
      <alignment horizontal="left" vertical="top" wrapText="1" shrinkToFit="1"/>
    </xf>
    <xf numFmtId="49" fontId="7" fillId="9" borderId="25" xfId="0" applyNumberFormat="1" applyFont="1" applyFill="1" applyBorder="1" applyAlignment="1">
      <alignment horizontal="left" vertical="top" wrapText="1" shrinkToFit="1"/>
    </xf>
    <xf numFmtId="49" fontId="7" fillId="9" borderId="17" xfId="0" applyNumberFormat="1" applyFont="1" applyFill="1" applyBorder="1" applyAlignment="1">
      <alignment horizontal="left" vertical="top" wrapText="1" shrinkToFit="1"/>
    </xf>
    <xf numFmtId="49" fontId="7" fillId="0" borderId="24" xfId="0" applyNumberFormat="1" applyFont="1" applyFill="1" applyBorder="1" applyAlignment="1">
      <alignment horizontal="left" vertical="top" wrapText="1" shrinkToFit="1"/>
    </xf>
    <xf numFmtId="49" fontId="7" fillId="0" borderId="25" xfId="0" applyNumberFormat="1" applyFont="1" applyFill="1" applyBorder="1" applyAlignment="1">
      <alignment horizontal="left" vertical="top" wrapText="1" shrinkToFit="1"/>
    </xf>
    <xf numFmtId="49" fontId="7" fillId="0" borderId="17" xfId="0" applyNumberFormat="1" applyFont="1" applyFill="1" applyBorder="1" applyAlignment="1">
      <alignment horizontal="left" vertical="top" wrapText="1" shrinkToFit="1"/>
    </xf>
    <xf numFmtId="4" fontId="8" fillId="0" borderId="58" xfId="0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 applyAlignment="1">
      <alignment horizontal="center" vertical="top" wrapText="1"/>
    </xf>
    <xf numFmtId="4" fontId="8" fillId="0" borderId="62" xfId="0" applyNumberFormat="1" applyFont="1" applyFill="1" applyBorder="1" applyAlignment="1">
      <alignment horizontal="center" vertical="top" wrapText="1"/>
    </xf>
    <xf numFmtId="4" fontId="7" fillId="0" borderId="58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4" fontId="7" fillId="0" borderId="62" xfId="0" applyNumberFormat="1" applyFont="1" applyFill="1" applyBorder="1" applyAlignment="1">
      <alignment horizontal="center" vertical="top" wrapText="1"/>
    </xf>
    <xf numFmtId="2" fontId="8" fillId="0" borderId="24" xfId="0" applyNumberFormat="1" applyFont="1" applyFill="1" applyBorder="1" applyAlignment="1">
      <alignment horizontal="left" vertical="top" wrapText="1" shrinkToFit="1"/>
    </xf>
    <xf numFmtId="2" fontId="8" fillId="0" borderId="25" xfId="0" applyNumberFormat="1" applyFont="1" applyFill="1" applyBorder="1" applyAlignment="1">
      <alignment horizontal="left" vertical="top" wrapText="1" shrinkToFit="1"/>
    </xf>
    <xf numFmtId="2" fontId="8" fillId="0" borderId="17" xfId="0" applyNumberFormat="1" applyFont="1" applyFill="1" applyBorder="1" applyAlignment="1">
      <alignment horizontal="left" vertical="top" wrapText="1" shrinkToFit="1"/>
    </xf>
    <xf numFmtId="4" fontId="7" fillId="0" borderId="38" xfId="0" applyNumberFormat="1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center" vertical="top" wrapText="1"/>
    </xf>
    <xf numFmtId="0" fontId="7" fillId="0" borderId="39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49" fontId="8" fillId="9" borderId="24" xfId="0" applyNumberFormat="1" applyFont="1" applyFill="1" applyBorder="1" applyAlignment="1">
      <alignment horizontal="left" vertical="top" wrapText="1"/>
    </xf>
    <xf numFmtId="49" fontId="8" fillId="9" borderId="25" xfId="0" applyNumberFormat="1" applyFont="1" applyFill="1" applyBorder="1" applyAlignment="1">
      <alignment horizontal="left" vertical="top" wrapText="1"/>
    </xf>
    <xf numFmtId="49" fontId="8" fillId="9" borderId="17" xfId="0" applyNumberFormat="1" applyFont="1" applyFill="1" applyBorder="1" applyAlignment="1">
      <alignment horizontal="left" vertical="top" wrapText="1"/>
    </xf>
    <xf numFmtId="4" fontId="7" fillId="0" borderId="24" xfId="0" applyNumberFormat="1" applyFont="1" applyFill="1" applyBorder="1" applyAlignment="1">
      <alignment horizontal="right" vertical="top" wrapText="1"/>
    </xf>
    <xf numFmtId="4" fontId="7" fillId="0" borderId="25" xfId="0" applyNumberFormat="1" applyFont="1" applyFill="1" applyBorder="1" applyAlignment="1">
      <alignment horizontal="right" vertical="top" wrapText="1"/>
    </xf>
    <xf numFmtId="4" fontId="7" fillId="0" borderId="28" xfId="0" applyNumberFormat="1" applyFont="1" applyFill="1" applyBorder="1" applyAlignment="1">
      <alignment horizontal="right" vertical="top" wrapText="1"/>
    </xf>
    <xf numFmtId="4" fontId="7" fillId="9" borderId="43" xfId="0" applyNumberFormat="1" applyFont="1" applyFill="1" applyBorder="1" applyAlignment="1">
      <alignment vertical="top"/>
    </xf>
    <xf numFmtId="4" fontId="7" fillId="9" borderId="44" xfId="0" applyNumberFormat="1" applyFont="1" applyFill="1" applyBorder="1" applyAlignment="1">
      <alignment vertical="top"/>
    </xf>
    <xf numFmtId="4" fontId="7" fillId="9" borderId="51" xfId="0" applyNumberFormat="1" applyFont="1" applyFill="1" applyBorder="1" applyAlignment="1">
      <alignment vertical="top"/>
    </xf>
    <xf numFmtId="4" fontId="7" fillId="0" borderId="43" xfId="0" applyNumberFormat="1" applyFont="1" applyFill="1" applyBorder="1" applyAlignment="1">
      <alignment vertical="top"/>
    </xf>
    <xf numFmtId="4" fontId="7" fillId="0" borderId="44" xfId="0" applyNumberFormat="1" applyFont="1" applyFill="1" applyBorder="1" applyAlignment="1">
      <alignment vertical="top"/>
    </xf>
    <xf numFmtId="4" fontId="7" fillId="0" borderId="51" xfId="0" applyNumberFormat="1" applyFont="1" applyFill="1" applyBorder="1" applyAlignment="1">
      <alignment vertical="top"/>
    </xf>
    <xf numFmtId="4" fontId="7" fillId="0" borderId="24" xfId="0" applyNumberFormat="1" applyFont="1" applyFill="1" applyBorder="1" applyAlignment="1">
      <alignment horizontal="center" vertical="top" wrapText="1"/>
    </xf>
    <xf numFmtId="4" fontId="7" fillId="0" borderId="25" xfId="0" applyNumberFormat="1" applyFont="1" applyFill="1" applyBorder="1" applyAlignment="1">
      <alignment horizontal="center" vertical="top" wrapText="1"/>
    </xf>
    <xf numFmtId="4" fontId="7" fillId="0" borderId="28" xfId="0" applyNumberFormat="1" applyFont="1" applyFill="1" applyBorder="1" applyAlignment="1">
      <alignment horizontal="center" vertical="top" wrapText="1"/>
    </xf>
    <xf numFmtId="4" fontId="7" fillId="0" borderId="52" xfId="0" applyNumberFormat="1" applyFont="1" applyFill="1" applyBorder="1" applyAlignment="1">
      <alignment vertical="top"/>
    </xf>
    <xf numFmtId="4" fontId="7" fillId="0" borderId="34" xfId="0" applyNumberFormat="1" applyFont="1" applyFill="1" applyBorder="1" applyAlignment="1">
      <alignment vertical="top"/>
    </xf>
    <xf numFmtId="4" fontId="7" fillId="0" borderId="11" xfId="0" applyNumberFormat="1" applyFont="1" applyFill="1" applyBorder="1" applyAlignment="1">
      <alignment horizontal="center" vertical="top"/>
    </xf>
    <xf numFmtId="4" fontId="7" fillId="0" borderId="25" xfId="0" applyNumberFormat="1" applyFont="1" applyFill="1" applyBorder="1" applyAlignment="1">
      <alignment horizontal="center" vertical="top"/>
    </xf>
    <xf numFmtId="4" fontId="7" fillId="0" borderId="17" xfId="0" applyNumberFormat="1" applyFont="1" applyFill="1" applyBorder="1" applyAlignment="1">
      <alignment horizontal="center" vertical="top"/>
    </xf>
    <xf numFmtId="4" fontId="8" fillId="0" borderId="24" xfId="0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center" vertical="top"/>
    </xf>
    <xf numFmtId="4" fontId="8" fillId="0" borderId="28" xfId="0" applyNumberFormat="1" applyFont="1" applyFill="1" applyBorder="1" applyAlignment="1">
      <alignment horizontal="center" vertical="top"/>
    </xf>
    <xf numFmtId="4" fontId="7" fillId="0" borderId="11" xfId="0" applyNumberFormat="1" applyFont="1" applyFill="1" applyBorder="1" applyAlignment="1">
      <alignment horizontal="center" vertical="top" wrapText="1"/>
    </xf>
    <xf numFmtId="4" fontId="7" fillId="0" borderId="17" xfId="0" applyNumberFormat="1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 shrinkToFit="1"/>
    </xf>
    <xf numFmtId="49" fontId="7" fillId="0" borderId="25" xfId="0" applyNumberFormat="1" applyFont="1" applyFill="1" applyBorder="1" applyAlignment="1">
      <alignment horizontal="center" vertical="top" wrapText="1" shrinkToFit="1"/>
    </xf>
    <xf numFmtId="49" fontId="7" fillId="0" borderId="17" xfId="0" applyNumberFormat="1" applyFont="1" applyFill="1" applyBorder="1" applyAlignment="1">
      <alignment horizontal="center" vertical="top" wrapText="1" shrinkToFit="1"/>
    </xf>
    <xf numFmtId="0" fontId="8" fillId="0" borderId="38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8" fillId="0" borderId="55" xfId="0" applyFont="1" applyFill="1" applyBorder="1" applyAlignment="1">
      <alignment horizontal="left" vertical="top" wrapText="1"/>
    </xf>
    <xf numFmtId="0" fontId="8" fillId="9" borderId="58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9" borderId="62" xfId="0" applyFont="1" applyFill="1" applyBorder="1" applyAlignment="1">
      <alignment horizontal="left" vertical="top" wrapText="1"/>
    </xf>
    <xf numFmtId="4" fontId="8" fillId="0" borderId="68" xfId="0" applyNumberFormat="1" applyFont="1" applyFill="1" applyBorder="1" applyAlignment="1">
      <alignment horizontal="center" vertical="top" wrapText="1"/>
    </xf>
    <xf numFmtId="4" fontId="8" fillId="0" borderId="63" xfId="0" applyNumberFormat="1" applyFont="1" applyFill="1" applyBorder="1" applyAlignment="1">
      <alignment horizontal="center" vertical="top" wrapText="1"/>
    </xf>
    <xf numFmtId="4" fontId="8" fillId="0" borderId="35" xfId="0" applyNumberFormat="1" applyFont="1" applyFill="1" applyBorder="1" applyAlignment="1">
      <alignment horizontal="center" vertical="top" wrapText="1"/>
    </xf>
    <xf numFmtId="0" fontId="7" fillId="9" borderId="24" xfId="0" applyFont="1" applyFill="1" applyBorder="1" applyAlignment="1">
      <alignment horizontal="center" vertical="top" wrapText="1"/>
    </xf>
    <xf numFmtId="0" fontId="7" fillId="9" borderId="25" xfId="0" applyFont="1" applyFill="1" applyBorder="1" applyAlignment="1">
      <alignment horizontal="center" vertical="top" wrapText="1"/>
    </xf>
    <xf numFmtId="0" fontId="7" fillId="9" borderId="17" xfId="0" applyFont="1" applyFill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4" fontId="7" fillId="0" borderId="43" xfId="0" applyNumberFormat="1" applyFont="1" applyBorder="1" applyAlignment="1">
      <alignment horizontal="center" vertical="top" wrapText="1"/>
    </xf>
    <xf numFmtId="4" fontId="7" fillId="0" borderId="44" xfId="0" applyNumberFormat="1" applyFont="1" applyBorder="1" applyAlignment="1">
      <alignment horizontal="center" vertical="top" wrapText="1"/>
    </xf>
    <xf numFmtId="4" fontId="7" fillId="0" borderId="34" xfId="0" applyNumberFormat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2" borderId="58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62" xfId="0" applyFont="1" applyFill="1" applyBorder="1" applyAlignment="1">
      <alignment horizontal="center" vertical="top" wrapText="1"/>
    </xf>
    <xf numFmtId="4" fontId="7" fillId="2" borderId="43" xfId="0" applyNumberFormat="1" applyFont="1" applyFill="1" applyBorder="1" applyAlignment="1">
      <alignment horizontal="center" vertical="top" wrapText="1"/>
    </xf>
    <xf numFmtId="4" fontId="7" fillId="2" borderId="44" xfId="0" applyNumberFormat="1" applyFont="1" applyFill="1" applyBorder="1" applyAlignment="1">
      <alignment horizontal="center" vertical="top" wrapText="1"/>
    </xf>
    <xf numFmtId="4" fontId="7" fillId="2" borderId="34" xfId="0" applyNumberFormat="1" applyFont="1" applyFill="1" applyBorder="1" applyAlignment="1">
      <alignment horizontal="center" vertical="top" wrapText="1"/>
    </xf>
    <xf numFmtId="0" fontId="7" fillId="2" borderId="75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78" xfId="0" applyFont="1" applyFill="1" applyBorder="1" applyAlignment="1">
      <alignment horizontal="center" vertical="top" wrapText="1"/>
    </xf>
    <xf numFmtId="0" fontId="7" fillId="0" borderId="76" xfId="0" applyFont="1" applyFill="1" applyBorder="1" applyAlignment="1">
      <alignment horizontal="left" vertical="top" wrapText="1"/>
    </xf>
    <xf numFmtId="0" fontId="7" fillId="0" borderId="77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0" fontId="8" fillId="0" borderId="54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7" xfId="0" applyFont="1" applyBorder="1" applyAlignment="1">
      <alignment horizontal="left" vertical="top" wrapText="1"/>
    </xf>
    <xf numFmtId="0" fontId="7" fillId="2" borderId="76" xfId="0" applyFont="1" applyFill="1" applyBorder="1" applyAlignment="1">
      <alignment horizontal="left" vertical="top" wrapText="1"/>
    </xf>
    <xf numFmtId="0" fontId="7" fillId="2" borderId="77" xfId="0" applyFont="1" applyFill="1" applyBorder="1" applyAlignment="1">
      <alignment horizontal="left" vertical="top" wrapText="1"/>
    </xf>
    <xf numFmtId="0" fontId="7" fillId="2" borderId="36" xfId="0" applyFont="1" applyFill="1" applyBorder="1" applyAlignment="1">
      <alignment horizontal="left" vertical="top" wrapText="1"/>
    </xf>
    <xf numFmtId="0" fontId="7" fillId="2" borderId="76" xfId="0" applyFont="1" applyFill="1" applyBorder="1" applyAlignment="1">
      <alignment horizontal="center" vertical="top" wrapText="1"/>
    </xf>
    <xf numFmtId="0" fontId="7" fillId="2" borderId="77" xfId="0" applyFont="1" applyFill="1" applyBorder="1" applyAlignment="1">
      <alignment horizontal="center" vertical="top" wrapText="1"/>
    </xf>
    <xf numFmtId="0" fontId="7" fillId="2" borderId="36" xfId="0" applyFont="1" applyFill="1" applyBorder="1" applyAlignment="1">
      <alignment horizontal="center" vertical="top" wrapText="1"/>
    </xf>
    <xf numFmtId="0" fontId="7" fillId="9" borderId="58" xfId="0" applyFont="1" applyFill="1" applyBorder="1" applyAlignment="1">
      <alignment horizontal="left" vertical="top" wrapText="1"/>
    </xf>
    <xf numFmtId="0" fontId="7" fillId="9" borderId="0" xfId="0" applyFont="1" applyFill="1" applyBorder="1" applyAlignment="1">
      <alignment horizontal="left" vertical="top" wrapText="1"/>
    </xf>
    <xf numFmtId="0" fontId="7" fillId="9" borderId="62" xfId="0" applyFont="1" applyFill="1" applyBorder="1" applyAlignment="1">
      <alignment horizontal="left" vertical="top" wrapText="1"/>
    </xf>
    <xf numFmtId="4" fontId="7" fillId="2" borderId="68" xfId="0" applyNumberFormat="1" applyFont="1" applyFill="1" applyBorder="1" applyAlignment="1">
      <alignment horizontal="center" vertical="top" wrapText="1"/>
    </xf>
    <xf numFmtId="4" fontId="7" fillId="2" borderId="63" xfId="0" applyNumberFormat="1" applyFont="1" applyFill="1" applyBorder="1" applyAlignment="1">
      <alignment horizontal="center" vertical="top" wrapText="1"/>
    </xf>
    <xf numFmtId="4" fontId="7" fillId="2" borderId="35" xfId="0" applyNumberFormat="1" applyFont="1" applyFill="1" applyBorder="1" applyAlignment="1">
      <alignment horizontal="center" vertical="top" wrapText="1"/>
    </xf>
    <xf numFmtId="4" fontId="8" fillId="0" borderId="75" xfId="0" applyNumberFormat="1" applyFont="1" applyBorder="1" applyAlignment="1">
      <alignment horizontal="center" vertical="top" wrapText="1"/>
    </xf>
    <xf numFmtId="4" fontId="8" fillId="0" borderId="32" xfId="0" applyNumberFormat="1" applyFont="1" applyBorder="1" applyAlignment="1">
      <alignment horizontal="center" vertical="top" wrapText="1"/>
    </xf>
    <xf numFmtId="4" fontId="8" fillId="0" borderId="78" xfId="0" applyNumberFormat="1" applyFont="1" applyBorder="1" applyAlignment="1">
      <alignment horizontal="center" vertical="top" wrapText="1"/>
    </xf>
    <xf numFmtId="0" fontId="8" fillId="9" borderId="24" xfId="0" applyFont="1" applyFill="1" applyBorder="1" applyAlignment="1">
      <alignment horizontal="left" vertical="top" wrapText="1"/>
    </xf>
    <xf numFmtId="0" fontId="8" fillId="9" borderId="25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left" vertical="top" wrapText="1"/>
    </xf>
    <xf numFmtId="4" fontId="8" fillId="0" borderId="43" xfId="0" applyNumberFormat="1" applyFont="1" applyBorder="1" applyAlignment="1">
      <alignment horizontal="center" vertical="top" wrapText="1"/>
    </xf>
    <xf numFmtId="4" fontId="8" fillId="0" borderId="44" xfId="0" applyNumberFormat="1" applyFont="1" applyBorder="1" applyAlignment="1">
      <alignment horizontal="center" vertical="top" wrapText="1"/>
    </xf>
    <xf numFmtId="4" fontId="8" fillId="0" borderId="34" xfId="0" applyNumberFormat="1" applyFont="1" applyBorder="1" applyAlignment="1">
      <alignment horizontal="center" vertical="top" wrapText="1"/>
    </xf>
    <xf numFmtId="0" fontId="8" fillId="0" borderId="43" xfId="0" applyFont="1" applyFill="1" applyBorder="1" applyAlignment="1">
      <alignment horizontal="left" vertical="top" wrapText="1"/>
    </xf>
    <xf numFmtId="0" fontId="8" fillId="0" borderId="44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0" fontId="8" fillId="0" borderId="68" xfId="0" applyFont="1" applyBorder="1" applyAlignment="1">
      <alignment horizontal="center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8" fillId="9" borderId="24" xfId="0" applyFont="1" applyFill="1" applyBorder="1" applyAlignment="1">
      <alignment horizontal="center" vertical="top" wrapText="1"/>
    </xf>
    <xf numFmtId="0" fontId="8" fillId="9" borderId="25" xfId="0" applyFont="1" applyFill="1" applyBorder="1" applyAlignment="1">
      <alignment horizontal="center" vertical="top" wrapText="1"/>
    </xf>
    <xf numFmtId="0" fontId="8" fillId="9" borderId="17" xfId="0" applyFont="1" applyFill="1" applyBorder="1" applyAlignment="1">
      <alignment horizontal="center" vertical="top" wrapText="1"/>
    </xf>
    <xf numFmtId="0" fontId="7" fillId="2" borderId="58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62" xfId="0" applyFont="1" applyFill="1" applyBorder="1" applyAlignment="1">
      <alignment horizontal="left" vertical="top" wrapText="1"/>
    </xf>
    <xf numFmtId="4" fontId="8" fillId="0" borderId="44" xfId="0" applyNumberFormat="1" applyFont="1" applyFill="1" applyBorder="1" applyAlignment="1">
      <alignment horizontal="center" vertical="top" wrapText="1"/>
    </xf>
    <xf numFmtId="4" fontId="8" fillId="0" borderId="34" xfId="0" applyNumberFormat="1" applyFont="1" applyFill="1" applyBorder="1" applyAlignment="1">
      <alignment horizontal="center" vertical="top" wrapText="1"/>
    </xf>
    <xf numFmtId="4" fontId="8" fillId="0" borderId="32" xfId="0" applyNumberFormat="1" applyFont="1" applyFill="1" applyBorder="1" applyAlignment="1">
      <alignment horizontal="center" vertical="top" wrapText="1"/>
    </xf>
    <xf numFmtId="4" fontId="8" fillId="0" borderId="78" xfId="0" applyNumberFormat="1" applyFont="1" applyFill="1" applyBorder="1" applyAlignment="1">
      <alignment horizontal="center" vertical="top" wrapText="1"/>
    </xf>
    <xf numFmtId="0" fontId="8" fillId="0" borderId="65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left" vertical="top" wrapText="1"/>
    </xf>
    <xf numFmtId="0" fontId="8" fillId="9" borderId="38" xfId="0" applyFont="1" applyFill="1" applyBorder="1" applyAlignment="1">
      <alignment horizontal="center" vertical="top" wrapText="1"/>
    </xf>
    <xf numFmtId="0" fontId="8" fillId="9" borderId="39" xfId="0" applyFont="1" applyFill="1" applyBorder="1" applyAlignment="1">
      <alignment horizontal="center" vertical="top" wrapText="1"/>
    </xf>
    <xf numFmtId="0" fontId="8" fillId="9" borderId="55" xfId="0" applyFont="1" applyFill="1" applyBorder="1" applyAlignment="1">
      <alignment horizontal="center" vertical="top" wrapText="1"/>
    </xf>
    <xf numFmtId="4" fontId="8" fillId="0" borderId="68" xfId="0" applyNumberFormat="1" applyFont="1" applyBorder="1" applyAlignment="1">
      <alignment horizontal="center" vertical="top" wrapText="1"/>
    </xf>
    <xf numFmtId="4" fontId="8" fillId="0" borderId="63" xfId="0" applyNumberFormat="1" applyFont="1" applyBorder="1" applyAlignment="1">
      <alignment horizontal="center" vertical="top" wrapText="1"/>
    </xf>
    <xf numFmtId="4" fontId="8" fillId="0" borderId="35" xfId="0" applyNumberFormat="1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75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8" fillId="0" borderId="78" xfId="0" applyFont="1" applyBorder="1" applyAlignment="1">
      <alignment horizontal="center" vertical="top" wrapText="1"/>
    </xf>
    <xf numFmtId="0" fontId="8" fillId="0" borderId="76" xfId="0" applyFont="1" applyFill="1" applyBorder="1" applyAlignment="1">
      <alignment horizontal="center" vertical="top" wrapText="1"/>
    </xf>
    <xf numFmtId="0" fontId="8" fillId="0" borderId="77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horizontal="center" vertical="top" wrapText="1"/>
    </xf>
    <xf numFmtId="4" fontId="7" fillId="0" borderId="68" xfId="0" applyNumberFormat="1" applyFont="1" applyFill="1" applyBorder="1" applyAlignment="1">
      <alignment horizontal="center" vertical="top" wrapText="1"/>
    </xf>
    <xf numFmtId="4" fontId="7" fillId="0" borderId="63" xfId="0" applyNumberFormat="1" applyFont="1" applyFill="1" applyBorder="1" applyAlignment="1">
      <alignment horizontal="center" vertical="top" wrapText="1"/>
    </xf>
    <xf numFmtId="4" fontId="7" fillId="0" borderId="35" xfId="0" applyNumberFormat="1" applyFont="1" applyFill="1" applyBorder="1" applyAlignment="1">
      <alignment horizontal="center" vertical="top" wrapText="1"/>
    </xf>
    <xf numFmtId="0" fontId="7" fillId="0" borderId="75" xfId="0" applyFont="1" applyFill="1" applyBorder="1" applyAlignment="1">
      <alignment horizontal="center" vertical="top" wrapText="1"/>
    </xf>
    <xf numFmtId="0" fontId="7" fillId="0" borderId="32" xfId="0" applyFont="1" applyFill="1" applyBorder="1" applyAlignment="1">
      <alignment horizontal="center" vertical="top" wrapText="1"/>
    </xf>
    <xf numFmtId="0" fontId="7" fillId="0" borderId="78" xfId="0" applyFont="1" applyFill="1" applyBorder="1" applyAlignment="1">
      <alignment horizontal="center" vertical="top" wrapText="1"/>
    </xf>
    <xf numFmtId="4" fontId="8" fillId="0" borderId="43" xfId="0" applyNumberFormat="1" applyFont="1" applyFill="1" applyBorder="1" applyAlignment="1">
      <alignment horizontal="center" vertical="top" wrapText="1"/>
    </xf>
    <xf numFmtId="4" fontId="8" fillId="0" borderId="75" xfId="0" applyNumberFormat="1" applyFont="1" applyFill="1" applyBorder="1" applyAlignment="1">
      <alignment horizontal="center" vertical="top" wrapText="1"/>
    </xf>
    <xf numFmtId="0" fontId="7" fillId="9" borderId="38" xfId="0" applyFont="1" applyFill="1" applyBorder="1" applyAlignment="1">
      <alignment horizontal="center" vertical="top" wrapText="1"/>
    </xf>
    <xf numFmtId="0" fontId="7" fillId="9" borderId="39" xfId="0" applyFont="1" applyFill="1" applyBorder="1" applyAlignment="1">
      <alignment horizontal="center" vertical="top" wrapText="1"/>
    </xf>
    <xf numFmtId="0" fontId="7" fillId="9" borderId="55" xfId="0" applyFont="1" applyFill="1" applyBorder="1" applyAlignment="1">
      <alignment horizontal="center" vertical="top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39" xfId="0" applyFont="1" applyFill="1" applyBorder="1" applyAlignment="1">
      <alignment horizontal="left" vertical="top" wrapText="1"/>
    </xf>
    <xf numFmtId="0" fontId="7" fillId="0" borderId="55" xfId="0" applyFont="1" applyFill="1" applyBorder="1" applyAlignment="1">
      <alignment horizontal="left" vertical="top" wrapText="1"/>
    </xf>
    <xf numFmtId="0" fontId="7" fillId="0" borderId="75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8" fillId="0" borderId="43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76" xfId="0" applyFont="1" applyFill="1" applyBorder="1" applyAlignment="1">
      <alignment horizontal="left" vertical="top" wrapText="1"/>
    </xf>
    <xf numFmtId="0" fontId="8" fillId="0" borderId="77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68" xfId="0" applyFont="1" applyFill="1" applyBorder="1" applyAlignment="1">
      <alignment horizontal="left" vertical="top" wrapText="1"/>
    </xf>
    <xf numFmtId="0" fontId="8" fillId="0" borderId="63" xfId="0" applyFont="1" applyFill="1" applyBorder="1" applyAlignment="1">
      <alignment horizontal="left" vertical="top" wrapText="1"/>
    </xf>
    <xf numFmtId="0" fontId="8" fillId="0" borderId="35" xfId="0" applyFont="1" applyFill="1" applyBorder="1" applyAlignment="1">
      <alignment horizontal="left" vertical="top" wrapText="1"/>
    </xf>
    <xf numFmtId="0" fontId="8" fillId="0" borderId="5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62" xfId="0" applyFont="1" applyFill="1" applyBorder="1" applyAlignment="1">
      <alignment horizontal="left" vertical="top" wrapText="1"/>
    </xf>
    <xf numFmtId="0" fontId="8" fillId="0" borderId="38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4" fontId="8" fillId="2" borderId="43" xfId="0" applyNumberFormat="1" applyFont="1" applyFill="1" applyBorder="1" applyAlignment="1">
      <alignment horizontal="center" vertical="top" wrapText="1"/>
    </xf>
    <xf numFmtId="4" fontId="8" fillId="2" borderId="44" xfId="0" applyNumberFormat="1" applyFont="1" applyFill="1" applyBorder="1" applyAlignment="1">
      <alignment horizontal="center" vertical="top" wrapText="1"/>
    </xf>
    <xf numFmtId="4" fontId="8" fillId="2" borderId="34" xfId="0" applyNumberFormat="1" applyFont="1" applyFill="1" applyBorder="1" applyAlignment="1">
      <alignment horizontal="center" vertical="top" wrapText="1"/>
    </xf>
    <xf numFmtId="0" fontId="8" fillId="2" borderId="75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78" xfId="0" applyFont="1" applyFill="1" applyBorder="1" applyAlignment="1">
      <alignment horizontal="center" vertical="top" wrapText="1"/>
    </xf>
    <xf numFmtId="0" fontId="7" fillId="2" borderId="43" xfId="0" applyFont="1" applyFill="1" applyBorder="1" applyAlignment="1">
      <alignment horizontal="left" vertical="top" wrapText="1"/>
    </xf>
    <xf numFmtId="0" fontId="7" fillId="2" borderId="44" xfId="0" applyFont="1" applyFill="1" applyBorder="1" applyAlignment="1">
      <alignment horizontal="left" vertical="top" wrapText="1"/>
    </xf>
    <xf numFmtId="0" fontId="7" fillId="2" borderId="34" xfId="0" applyFont="1" applyFill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54" xfId="0" applyFont="1" applyFill="1" applyBorder="1" applyAlignment="1">
      <alignment horizontal="center" vertical="top" wrapText="1"/>
    </xf>
    <xf numFmtId="0" fontId="8" fillId="0" borderId="53" xfId="0" applyFont="1" applyFill="1" applyBorder="1" applyAlignment="1">
      <alignment horizontal="center" vertical="top" wrapText="1"/>
    </xf>
    <xf numFmtId="0" fontId="8" fillId="0" borderId="37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left" vertical="top" wrapText="1"/>
    </xf>
    <xf numFmtId="0" fontId="8" fillId="0" borderId="57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4" fontId="7" fillId="0" borderId="11" xfId="0" applyNumberFormat="1" applyFont="1" applyFill="1" applyBorder="1" applyAlignment="1">
      <alignment horizontal="right" vertical="top" wrapText="1"/>
    </xf>
    <xf numFmtId="4" fontId="8" fillId="0" borderId="74" xfId="0" applyNumberFormat="1" applyFont="1" applyFill="1" applyBorder="1" applyAlignment="1">
      <alignment horizontal="right" vertical="top" wrapText="1"/>
    </xf>
    <xf numFmtId="4" fontId="8" fillId="0" borderId="73" xfId="0" applyNumberFormat="1" applyFont="1" applyFill="1" applyBorder="1" applyAlignment="1">
      <alignment horizontal="right" vertical="top" wrapText="1"/>
    </xf>
    <xf numFmtId="0" fontId="8" fillId="0" borderId="52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74" xfId="0" applyFont="1" applyFill="1" applyBorder="1" applyAlignment="1">
      <alignment horizontal="center" vertical="top" wrapText="1"/>
    </xf>
    <xf numFmtId="0" fontId="8" fillId="0" borderId="72" xfId="0" applyFont="1" applyFill="1" applyBorder="1" applyAlignment="1">
      <alignment horizontal="center" vertical="top" wrapText="1"/>
    </xf>
    <xf numFmtId="0" fontId="8" fillId="0" borderId="64" xfId="0" applyFont="1" applyFill="1" applyBorder="1" applyAlignment="1">
      <alignment horizontal="center" vertical="top" wrapText="1"/>
    </xf>
    <xf numFmtId="2" fontId="8" fillId="0" borderId="20" xfId="0" applyNumberFormat="1" applyFont="1" applyFill="1" applyBorder="1" applyAlignment="1">
      <alignment horizontal="center" vertical="top" wrapText="1"/>
    </xf>
    <xf numFmtId="0" fontId="8" fillId="0" borderId="5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62" xfId="0" applyFont="1" applyFill="1" applyBorder="1" applyAlignment="1">
      <alignment horizontal="center" vertical="top" wrapText="1"/>
    </xf>
    <xf numFmtId="49" fontId="8" fillId="9" borderId="24" xfId="0" applyNumberFormat="1" applyFont="1" applyFill="1" applyBorder="1" applyAlignment="1">
      <alignment horizontal="left" vertical="top" wrapText="1" shrinkToFit="1"/>
    </xf>
    <xf numFmtId="49" fontId="8" fillId="0" borderId="11" xfId="0" applyNumberFormat="1" applyFont="1" applyFill="1" applyBorder="1" applyAlignment="1">
      <alignment horizontal="left" vertical="top" wrapText="1" shrinkToFit="1"/>
    </xf>
    <xf numFmtId="0" fontId="7" fillId="2" borderId="68" xfId="0" applyFont="1" applyFill="1" applyBorder="1" applyAlignment="1">
      <alignment horizontal="left" vertical="top" wrapText="1"/>
    </xf>
    <xf numFmtId="0" fontId="7" fillId="2" borderId="63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 wrapText="1"/>
    </xf>
    <xf numFmtId="49" fontId="8" fillId="0" borderId="43" xfId="0" applyNumberFormat="1" applyFont="1" applyFill="1" applyBorder="1" applyAlignment="1">
      <alignment horizontal="left" vertical="top" wrapText="1" shrinkToFit="1"/>
    </xf>
    <xf numFmtId="49" fontId="8" fillId="0" borderId="44" xfId="0" applyNumberFormat="1" applyFont="1" applyFill="1" applyBorder="1" applyAlignment="1">
      <alignment horizontal="left" vertical="top" wrapText="1" shrinkToFit="1"/>
    </xf>
    <xf numFmtId="49" fontId="8" fillId="0" borderId="34" xfId="0" applyNumberFormat="1" applyFont="1" applyFill="1" applyBorder="1" applyAlignment="1">
      <alignment horizontal="left" vertical="top" wrapText="1" shrinkToFit="1"/>
    </xf>
    <xf numFmtId="2" fontId="8" fillId="0" borderId="25" xfId="0" applyNumberFormat="1" applyFont="1" applyFill="1" applyBorder="1" applyAlignment="1">
      <alignment horizontal="center" vertical="top" wrapText="1"/>
    </xf>
    <xf numFmtId="2" fontId="8" fillId="0" borderId="28" xfId="0" applyNumberFormat="1" applyFont="1" applyFill="1" applyBorder="1" applyAlignment="1">
      <alignment horizontal="center" vertical="top" wrapText="1"/>
    </xf>
    <xf numFmtId="0" fontId="7" fillId="0" borderId="68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top" wrapText="1"/>
    </xf>
    <xf numFmtId="0" fontId="7" fillId="0" borderId="35" xfId="0" applyFont="1" applyFill="1" applyBorder="1" applyAlignment="1">
      <alignment horizontal="left" vertical="top" wrapText="1"/>
    </xf>
    <xf numFmtId="4" fontId="8" fillId="0" borderId="76" xfId="0" applyNumberFormat="1" applyFont="1" applyBorder="1" applyAlignment="1">
      <alignment horizontal="center" vertical="top" wrapText="1"/>
    </xf>
    <xf numFmtId="4" fontId="8" fillId="0" borderId="77" xfId="0" applyNumberFormat="1" applyFont="1" applyBorder="1" applyAlignment="1">
      <alignment horizontal="center" vertical="top" wrapText="1"/>
    </xf>
    <xf numFmtId="4" fontId="8" fillId="0" borderId="36" xfId="0" applyNumberFormat="1" applyFont="1" applyBorder="1" applyAlignment="1">
      <alignment horizontal="center" vertical="top" wrapText="1"/>
    </xf>
    <xf numFmtId="165" fontId="8" fillId="0" borderId="11" xfId="0" applyNumberFormat="1" applyFont="1" applyFill="1" applyBorder="1" applyAlignment="1">
      <alignment horizontal="center" vertical="top" wrapText="1"/>
    </xf>
    <xf numFmtId="165" fontId="8" fillId="0" borderId="25" xfId="0" applyNumberFormat="1" applyFont="1" applyFill="1" applyBorder="1" applyAlignment="1">
      <alignment horizontal="center" vertical="top" wrapText="1"/>
    </xf>
    <xf numFmtId="165" fontId="8" fillId="0" borderId="17" xfId="0" applyNumberFormat="1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65" xfId="0" applyFont="1" applyFill="1" applyBorder="1" applyAlignment="1">
      <alignment horizontal="center" vertical="top" wrapText="1"/>
    </xf>
    <xf numFmtId="0" fontId="8" fillId="9" borderId="20" xfId="0" applyFont="1" applyFill="1" applyBorder="1" applyAlignment="1">
      <alignment horizontal="left" vertical="top" wrapText="1"/>
    </xf>
    <xf numFmtId="49" fontId="8" fillId="9" borderId="16" xfId="0" applyNumberFormat="1" applyFont="1" applyFill="1" applyBorder="1" applyAlignment="1">
      <alignment horizontal="left" vertical="top" wrapText="1" shrinkToFit="1"/>
    </xf>
    <xf numFmtId="49" fontId="8" fillId="9" borderId="20" xfId="0" applyNumberFormat="1" applyFont="1" applyFill="1" applyBorder="1" applyAlignment="1">
      <alignment horizontal="left" vertical="top" wrapText="1" shrinkToFit="1"/>
    </xf>
    <xf numFmtId="4" fontId="7" fillId="0" borderId="52" xfId="0" applyNumberFormat="1" applyFont="1" applyFill="1" applyBorder="1" applyAlignment="1">
      <alignment horizontal="right" vertical="top"/>
    </xf>
    <xf numFmtId="4" fontId="7" fillId="0" borderId="44" xfId="0" applyNumberFormat="1" applyFont="1" applyFill="1" applyBorder="1" applyAlignment="1">
      <alignment horizontal="right" vertical="top"/>
    </xf>
    <xf numFmtId="4" fontId="7" fillId="0" borderId="34" xfId="0" applyNumberFormat="1" applyFont="1" applyFill="1" applyBorder="1" applyAlignment="1">
      <alignment horizontal="right" vertical="top"/>
    </xf>
    <xf numFmtId="4" fontId="8" fillId="9" borderId="65" xfId="0" applyNumberFormat="1" applyFont="1" applyFill="1" applyBorder="1" applyAlignment="1">
      <alignment vertical="top" wrapText="1"/>
    </xf>
    <xf numFmtId="4" fontId="8" fillId="0" borderId="46" xfId="0" applyNumberFormat="1" applyFont="1" applyFill="1" applyBorder="1" applyAlignment="1">
      <alignment vertical="top" wrapText="1"/>
    </xf>
    <xf numFmtId="4" fontId="8" fillId="0" borderId="43" xfId="0" applyNumberFormat="1" applyFont="1" applyFill="1" applyBorder="1" applyAlignment="1">
      <alignment vertical="top" wrapText="1"/>
    </xf>
    <xf numFmtId="0" fontId="8" fillId="0" borderId="64" xfId="0" applyFont="1" applyFill="1" applyBorder="1" applyAlignment="1">
      <alignment horizontal="left" vertical="top" wrapText="1"/>
    </xf>
    <xf numFmtId="4" fontId="8" fillId="0" borderId="71" xfId="0" applyNumberFormat="1" applyFont="1" applyFill="1" applyBorder="1" applyAlignment="1">
      <alignment vertical="top" wrapText="1"/>
    </xf>
    <xf numFmtId="4" fontId="8" fillId="9" borderId="16" xfId="0" applyNumberFormat="1" applyFont="1" applyFill="1" applyBorder="1" applyAlignment="1">
      <alignment horizontal="center" vertical="top" wrapText="1"/>
    </xf>
    <xf numFmtId="4" fontId="8" fillId="9" borderId="11" xfId="0" applyNumberFormat="1" applyFont="1" applyFill="1" applyBorder="1" applyAlignment="1">
      <alignment horizontal="center" vertical="top" wrapText="1"/>
    </xf>
    <xf numFmtId="4" fontId="8" fillId="0" borderId="24" xfId="0" applyNumberFormat="1" applyFont="1" applyFill="1" applyBorder="1" applyAlignment="1">
      <alignment horizontal="right" vertical="top" wrapText="1"/>
    </xf>
    <xf numFmtId="4" fontId="8" fillId="9" borderId="24" xfId="0" applyNumberFormat="1" applyFont="1" applyFill="1" applyBorder="1" applyAlignment="1">
      <alignment horizontal="center" vertical="top" wrapText="1"/>
    </xf>
    <xf numFmtId="4" fontId="8" fillId="9" borderId="25" xfId="0" applyNumberFormat="1" applyFont="1" applyFill="1" applyBorder="1" applyAlignment="1">
      <alignment horizontal="center" vertical="top" wrapText="1"/>
    </xf>
    <xf numFmtId="4" fontId="8" fillId="9" borderId="17" xfId="0" applyNumberFormat="1" applyFont="1" applyFill="1" applyBorder="1" applyAlignment="1">
      <alignment horizontal="center" vertical="top" wrapText="1"/>
    </xf>
    <xf numFmtId="49" fontId="8" fillId="9" borderId="28" xfId="0" applyNumberFormat="1" applyFont="1" applyFill="1" applyBorder="1" applyAlignment="1">
      <alignment horizontal="left" vertical="top" wrapText="1" shrinkToFit="1"/>
    </xf>
    <xf numFmtId="4" fontId="8" fillId="9" borderId="11" xfId="0" applyNumberFormat="1" applyFont="1" applyFill="1" applyBorder="1" applyAlignment="1">
      <alignment horizontal="center" vertical="top" wrapText="1"/>
    </xf>
    <xf numFmtId="164" fontId="8" fillId="9" borderId="79" xfId="0" applyNumberFormat="1" applyFont="1" applyFill="1" applyBorder="1" applyAlignment="1">
      <alignment horizontal="center" vertical="top" wrapText="1"/>
    </xf>
    <xf numFmtId="4" fontId="8" fillId="9" borderId="71" xfId="0" applyNumberFormat="1" applyFont="1" applyFill="1" applyBorder="1" applyAlignment="1">
      <alignment vertical="top" wrapText="1"/>
    </xf>
    <xf numFmtId="4" fontId="8" fillId="9" borderId="20" xfId="0" applyNumberFormat="1" applyFont="1" applyFill="1" applyBorder="1" applyAlignment="1">
      <alignment horizontal="center" vertical="top" wrapText="1"/>
    </xf>
    <xf numFmtId="4" fontId="8" fillId="9" borderId="70" xfId="0" applyNumberFormat="1" applyFont="1" applyFill="1" applyBorder="1" applyAlignment="1">
      <alignment vertical="top" wrapText="1"/>
    </xf>
    <xf numFmtId="4" fontId="7" fillId="9" borderId="11" xfId="0" applyNumberFormat="1" applyFont="1" applyFill="1" applyBorder="1" applyAlignment="1">
      <alignment horizontal="center" vertical="top" wrapText="1"/>
    </xf>
    <xf numFmtId="4" fontId="7" fillId="9" borderId="25" xfId="0" applyNumberFormat="1" applyFont="1" applyFill="1" applyBorder="1" applyAlignment="1">
      <alignment horizontal="center" vertical="top" wrapText="1"/>
    </xf>
    <xf numFmtId="4" fontId="7" fillId="9" borderId="17" xfId="0" applyNumberFormat="1" applyFont="1" applyFill="1" applyBorder="1" applyAlignment="1">
      <alignment horizontal="center" vertical="top" wrapText="1"/>
    </xf>
    <xf numFmtId="4" fontId="8" fillId="0" borderId="39" xfId="0" applyNumberFormat="1" applyFont="1" applyBorder="1" applyAlignment="1">
      <alignment vertical="top" wrapText="1"/>
    </xf>
    <xf numFmtId="4" fontId="8" fillId="0" borderId="17" xfId="0" applyNumberFormat="1" applyFont="1" applyBorder="1" applyAlignment="1">
      <alignment vertical="top" wrapText="1"/>
    </xf>
    <xf numFmtId="0" fontId="8" fillId="9" borderId="25" xfId="0" applyFont="1" applyFill="1" applyBorder="1" applyAlignment="1">
      <alignment vertical="top" wrapText="1"/>
    </xf>
    <xf numFmtId="4" fontId="8" fillId="0" borderId="17" xfId="0" applyNumberFormat="1" applyFont="1" applyBorder="1" applyAlignment="1">
      <alignment horizontal="center" vertical="top" wrapText="1"/>
    </xf>
    <xf numFmtId="0" fontId="8" fillId="9" borderId="17" xfId="0" applyFont="1" applyFill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4" fontId="7" fillId="0" borderId="28" xfId="0" applyNumberFormat="1" applyFont="1" applyBorder="1" applyAlignment="1">
      <alignment vertical="top" wrapText="1"/>
    </xf>
    <xf numFmtId="4" fontId="8" fillId="0" borderId="23" xfId="0" applyNumberFormat="1" applyFont="1" applyBorder="1" applyAlignment="1">
      <alignment vertical="top" wrapText="1"/>
    </xf>
    <xf numFmtId="4" fontId="8" fillId="0" borderId="16" xfId="0" applyNumberFormat="1" applyFont="1" applyBorder="1" applyAlignment="1">
      <alignment vertical="top" wrapText="1"/>
    </xf>
    <xf numFmtId="4" fontId="8" fillId="0" borderId="11" xfId="0" applyNumberFormat="1" applyFont="1" applyBorder="1" applyAlignment="1">
      <alignment vertical="top" wrapText="1"/>
    </xf>
    <xf numFmtId="4" fontId="8" fillId="0" borderId="25" xfId="0" applyNumberFormat="1" applyFont="1" applyBorder="1" applyAlignment="1">
      <alignment horizontal="center" vertical="top" wrapText="1"/>
    </xf>
    <xf numFmtId="4" fontId="8" fillId="0" borderId="17" xfId="0" applyNumberFormat="1" applyFont="1" applyBorder="1" applyAlignment="1">
      <alignment horizontal="center" vertical="top" wrapText="1"/>
    </xf>
    <xf numFmtId="0" fontId="8" fillId="9" borderId="11" xfId="0" applyFont="1" applyFill="1" applyBorder="1" applyAlignment="1">
      <alignment horizontal="left" vertical="top" wrapText="1"/>
    </xf>
    <xf numFmtId="4" fontId="8" fillId="0" borderId="60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left" vertical="top" wrapText="1"/>
    </xf>
    <xf numFmtId="4" fontId="8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23" workbookViewId="0">
      <selection sqref="A1:I48"/>
    </sheetView>
  </sheetViews>
  <sheetFormatPr defaultRowHeight="15" x14ac:dyDescent="0.25"/>
  <cols>
    <col min="1" max="1" width="56.28515625" customWidth="1"/>
    <col min="2" max="3" width="16.5703125" customWidth="1"/>
    <col min="4" max="8" width="16" customWidth="1"/>
    <col min="9" max="9" width="18.42578125" customWidth="1"/>
  </cols>
  <sheetData>
    <row r="1" spans="1:9" ht="26.25" thickBot="1" x14ac:dyDescent="0.3">
      <c r="A1" s="294" t="s">
        <v>160</v>
      </c>
      <c r="B1" s="301">
        <v>2014</v>
      </c>
      <c r="C1" s="301">
        <v>2015</v>
      </c>
      <c r="D1" s="309">
        <v>2016</v>
      </c>
      <c r="E1" s="310">
        <v>2017</v>
      </c>
      <c r="F1" s="310">
        <v>2018</v>
      </c>
      <c r="G1" s="310">
        <v>2019</v>
      </c>
      <c r="H1" s="310">
        <v>2020</v>
      </c>
      <c r="I1" s="310" t="s">
        <v>1</v>
      </c>
    </row>
    <row r="2" spans="1:9" ht="15.75" thickBot="1" x14ac:dyDescent="0.3">
      <c r="A2" s="71">
        <v>2</v>
      </c>
      <c r="B2" s="302">
        <v>3</v>
      </c>
      <c r="C2" s="302">
        <v>4</v>
      </c>
      <c r="D2" s="71">
        <v>5</v>
      </c>
      <c r="E2" s="16">
        <v>6</v>
      </c>
      <c r="F2" s="16">
        <v>7</v>
      </c>
      <c r="G2" s="16">
        <v>8</v>
      </c>
      <c r="H2" s="16">
        <v>9</v>
      </c>
      <c r="I2" s="16">
        <v>10</v>
      </c>
    </row>
    <row r="3" spans="1:9" ht="30" customHeight="1" thickBot="1" x14ac:dyDescent="0.3">
      <c r="A3" s="295" t="str">
        <f>'таблица (всего)'!C3</f>
        <v>«Развитие здравоохранения Ивановской области» 
всего, в том числе:</v>
      </c>
      <c r="B3" s="303">
        <f>'таблица (всего)'!D3</f>
        <v>13593092033.76</v>
      </c>
      <c r="C3" s="303">
        <f>'таблица (всего)'!E3</f>
        <v>14799453930.66</v>
      </c>
      <c r="D3" s="303">
        <f>'таблица (всего)'!F3</f>
        <v>14236337661.650002</v>
      </c>
      <c r="E3" s="303">
        <f>'таблица (всего)'!G3</f>
        <v>14396649354.700001</v>
      </c>
      <c r="F3" s="303">
        <f>'таблица (всего)'!H3</f>
        <v>15448116190.700001</v>
      </c>
      <c r="G3" s="303">
        <f>'таблица (всего)'!I3</f>
        <v>15985798714.290001</v>
      </c>
      <c r="H3" s="303">
        <f>'таблица (всего)'!J3</f>
        <v>15901356014.290001</v>
      </c>
      <c r="I3" s="303">
        <f>'таблица (всего)'!K3</f>
        <v>104360803900.05002</v>
      </c>
    </row>
    <row r="4" spans="1:9" x14ac:dyDescent="0.25">
      <c r="A4" s="296" t="s">
        <v>225</v>
      </c>
      <c r="B4" s="304">
        <f>'таблица (всего)'!D4</f>
        <v>5753664633.7600002</v>
      </c>
      <c r="C4" s="304">
        <f>'таблица (всего)'!E4</f>
        <v>5819013830.6599998</v>
      </c>
      <c r="D4" s="304">
        <f>'таблица (всего)'!F4</f>
        <v>5549510761.6500006</v>
      </c>
      <c r="E4" s="304">
        <f>'таблица (всего)'!G4</f>
        <v>5083065454.6999998</v>
      </c>
      <c r="F4" s="304">
        <f>'таблица (всего)'!H4</f>
        <v>5078522290.6999998</v>
      </c>
      <c r="G4" s="304">
        <f>'таблица (всего)'!I4</f>
        <v>5076122314.29</v>
      </c>
      <c r="H4" s="304">
        <f>'таблица (всего)'!J4</f>
        <v>4991679614.29</v>
      </c>
      <c r="I4" s="304">
        <f>'таблица (всего)'!K4</f>
        <v>37351578900.050003</v>
      </c>
    </row>
    <row r="5" spans="1:9" x14ac:dyDescent="0.25">
      <c r="A5" s="297" t="s">
        <v>282</v>
      </c>
      <c r="B5" s="305">
        <f>'таблица (всего)'!D5</f>
        <v>857147889.75999999</v>
      </c>
      <c r="C5" s="305">
        <f>'таблица (всего)'!E5</f>
        <v>636866220.17000008</v>
      </c>
      <c r="D5" s="305">
        <f>'таблица (всего)'!F5</f>
        <v>466832400</v>
      </c>
      <c r="E5" s="305">
        <f>'таблица (всего)'!G5</f>
        <v>91080100</v>
      </c>
      <c r="F5" s="305">
        <f>'таблица (всего)'!H5</f>
        <v>86275300</v>
      </c>
      <c r="G5" s="305">
        <f>'таблица (всего)'!I5</f>
        <v>84442700</v>
      </c>
      <c r="H5" s="305">
        <f>'таблица (всего)'!J5</f>
        <v>0</v>
      </c>
      <c r="I5" s="305">
        <f>'таблица (всего)'!K5</f>
        <v>2222644609.9300003</v>
      </c>
    </row>
    <row r="6" spans="1:9" x14ac:dyDescent="0.25">
      <c r="A6" s="297" t="s">
        <v>283</v>
      </c>
      <c r="B6" s="305">
        <f>'таблица (всего)'!D6</f>
        <v>4891416744</v>
      </c>
      <c r="C6" s="305">
        <f>'таблица (всего)'!E6</f>
        <v>5181547610.4899998</v>
      </c>
      <c r="D6" s="305">
        <f>'таблица (всего)'!F6</f>
        <v>5081978361.6500006</v>
      </c>
      <c r="E6" s="305">
        <f>'таблица (всего)'!G6</f>
        <v>4991985354.6999998</v>
      </c>
      <c r="F6" s="305">
        <f>'таблица (всего)'!H6</f>
        <v>4992246990.6999998</v>
      </c>
      <c r="G6" s="305">
        <f>'таблица (всего)'!I6</f>
        <v>4991679614.29</v>
      </c>
      <c r="H6" s="305">
        <f>'таблица (всего)'!J6</f>
        <v>4991679614.29</v>
      </c>
      <c r="I6" s="305">
        <f>'таблица (всего)'!K6</f>
        <v>35122534290.120003</v>
      </c>
    </row>
    <row r="7" spans="1:9" x14ac:dyDescent="0.25">
      <c r="A7" s="297" t="s">
        <v>281</v>
      </c>
      <c r="B7" s="305">
        <f>'таблица (всего)'!D7</f>
        <v>100000</v>
      </c>
      <c r="C7" s="305">
        <f>'таблица (всего)'!E7</f>
        <v>100000</v>
      </c>
      <c r="D7" s="305">
        <f>'таблица (всего)'!F7</f>
        <v>100000</v>
      </c>
      <c r="E7" s="305">
        <f>'таблица (всего)'!G7</f>
        <v>0</v>
      </c>
      <c r="F7" s="305">
        <f>'таблица (всего)'!H7</f>
        <v>0</v>
      </c>
      <c r="G7" s="305">
        <f>'таблица (всего)'!I7</f>
        <v>0</v>
      </c>
      <c r="H7" s="305">
        <f>'таблица (всего)'!J7</f>
        <v>0</v>
      </c>
      <c r="I7" s="305">
        <f>'таблица (всего)'!K7</f>
        <v>300000</v>
      </c>
    </row>
    <row r="8" spans="1:9" x14ac:dyDescent="0.25">
      <c r="A8" s="297" t="s">
        <v>284</v>
      </c>
      <c r="B8" s="305">
        <f>'таблица (всего)'!D8</f>
        <v>5000000</v>
      </c>
      <c r="C8" s="305">
        <f>'таблица (всего)'!E8</f>
        <v>500000</v>
      </c>
      <c r="D8" s="305">
        <f>'таблица (всего)'!F8</f>
        <v>600000</v>
      </c>
      <c r="E8" s="305">
        <f>'таблица (всего)'!G8</f>
        <v>0</v>
      </c>
      <c r="F8" s="305">
        <f>'таблица (всего)'!H8</f>
        <v>0</v>
      </c>
      <c r="G8" s="305">
        <f>'таблица (всего)'!I8</f>
        <v>0</v>
      </c>
      <c r="H8" s="305">
        <f>'таблица (всего)'!J8</f>
        <v>0</v>
      </c>
      <c r="I8" s="305">
        <f>'таблица (всего)'!K8</f>
        <v>6100000</v>
      </c>
    </row>
    <row r="9" spans="1:9" ht="26.25" thickBot="1" x14ac:dyDescent="0.3">
      <c r="A9" s="298" t="s">
        <v>280</v>
      </c>
      <c r="B9" s="306">
        <f>'таблица (всего)'!D9</f>
        <v>7839427400</v>
      </c>
      <c r="C9" s="306">
        <f>'таблица (всего)'!E9</f>
        <v>8980440100</v>
      </c>
      <c r="D9" s="306">
        <f>'таблица (всего)'!F9</f>
        <v>8686826900</v>
      </c>
      <c r="E9" s="306">
        <f>'таблица (всего)'!G9</f>
        <v>9313583900</v>
      </c>
      <c r="F9" s="306">
        <f>'таблица (всего)'!H9</f>
        <v>10369593900</v>
      </c>
      <c r="G9" s="306">
        <f>'таблица (всего)'!I9</f>
        <v>10909676400</v>
      </c>
      <c r="H9" s="306">
        <f>'таблица (всего)'!J9</f>
        <v>10909676400</v>
      </c>
      <c r="I9" s="306">
        <f>'таблица (всего)'!K9</f>
        <v>67009225000</v>
      </c>
    </row>
    <row r="10" spans="1:9" ht="15.75" thickBot="1" x14ac:dyDescent="0.3">
      <c r="A10" s="295" t="str">
        <f>'таблица (всего)'!C148</f>
        <v xml:space="preserve">«Развитие образования Ивановской области» </v>
      </c>
      <c r="B10" s="303">
        <f>'таблица (всего)'!D148</f>
        <v>68642100</v>
      </c>
      <c r="C10" s="303">
        <f>'таблица (всего)'!E148</f>
        <v>68947840.680000007</v>
      </c>
      <c r="D10" s="303">
        <f>'таблица (всего)'!F148</f>
        <v>67326721.609999999</v>
      </c>
      <c r="E10" s="303">
        <f>'таблица (всего)'!G148</f>
        <v>62797429.359999992</v>
      </c>
      <c r="F10" s="303">
        <f>'таблица (всего)'!H148</f>
        <v>62535793.359999992</v>
      </c>
      <c r="G10" s="303">
        <f>'таблица (всего)'!I148</f>
        <v>63103169.769999996</v>
      </c>
      <c r="H10" s="303">
        <f>'таблица (всего)'!J148</f>
        <v>63103169.769999996</v>
      </c>
      <c r="I10" s="303">
        <f>'таблица (всего)'!K148</f>
        <v>456456224.54999995</v>
      </c>
    </row>
    <row r="11" spans="1:9" x14ac:dyDescent="0.25">
      <c r="A11" s="296" t="s">
        <v>225</v>
      </c>
      <c r="B11" s="304">
        <f>B10</f>
        <v>68642100</v>
      </c>
      <c r="C11" s="304">
        <f t="shared" ref="C11:I11" si="0">C10</f>
        <v>68947840.680000007</v>
      </c>
      <c r="D11" s="304">
        <f t="shared" si="0"/>
        <v>67326721.609999999</v>
      </c>
      <c r="E11" s="304">
        <f t="shared" si="0"/>
        <v>62797429.359999992</v>
      </c>
      <c r="F11" s="304">
        <f t="shared" si="0"/>
        <v>62535793.359999992</v>
      </c>
      <c r="G11" s="304">
        <f t="shared" si="0"/>
        <v>63103169.769999996</v>
      </c>
      <c r="H11" s="304">
        <f t="shared" si="0"/>
        <v>63103169.769999996</v>
      </c>
      <c r="I11" s="304">
        <f t="shared" si="0"/>
        <v>456456224.54999995</v>
      </c>
    </row>
    <row r="12" spans="1:9" x14ac:dyDescent="0.25">
      <c r="A12" s="297" t="s">
        <v>282</v>
      </c>
      <c r="B12" s="305">
        <f>'таблица (всего)'!D156</f>
        <v>0</v>
      </c>
      <c r="C12" s="305">
        <f>'таблица (всего)'!E156</f>
        <v>16000</v>
      </c>
      <c r="D12" s="305">
        <f>'таблица (всего)'!F156</f>
        <v>80000</v>
      </c>
      <c r="E12" s="305">
        <f>'таблица (всего)'!G156</f>
        <v>0</v>
      </c>
      <c r="F12" s="305">
        <f>'таблица (всего)'!H156</f>
        <v>0</v>
      </c>
      <c r="G12" s="305">
        <f>'таблица (всего)'!I156</f>
        <v>0</v>
      </c>
      <c r="H12" s="305">
        <f>'таблица (всего)'!J156</f>
        <v>0</v>
      </c>
      <c r="I12" s="305">
        <f>'таблица (всего)'!K156</f>
        <v>96000</v>
      </c>
    </row>
    <row r="13" spans="1:9" ht="15.75" thickBot="1" x14ac:dyDescent="0.3">
      <c r="A13" s="299" t="s">
        <v>283</v>
      </c>
      <c r="B13" s="307">
        <f>B11-B12</f>
        <v>68642100</v>
      </c>
      <c r="C13" s="307">
        <f t="shared" ref="C13:I13" si="1">C11-C12</f>
        <v>68931840.680000007</v>
      </c>
      <c r="D13" s="307">
        <f t="shared" si="1"/>
        <v>67246721.609999999</v>
      </c>
      <c r="E13" s="307">
        <f t="shared" si="1"/>
        <v>62797429.359999992</v>
      </c>
      <c r="F13" s="307">
        <f t="shared" si="1"/>
        <v>62535793.359999992</v>
      </c>
      <c r="G13" s="307">
        <f t="shared" si="1"/>
        <v>63103169.769999996</v>
      </c>
      <c r="H13" s="307">
        <f t="shared" si="1"/>
        <v>63103169.769999996</v>
      </c>
      <c r="I13" s="307">
        <f t="shared" si="1"/>
        <v>456360224.54999995</v>
      </c>
    </row>
    <row r="14" spans="1:9" ht="15.75" thickBot="1" x14ac:dyDescent="0.3">
      <c r="A14" s="295" t="str">
        <f>'таблица (всего)'!C165</f>
        <v>Социальная поддержка граждан Ивановской области</v>
      </c>
      <c r="B14" s="303">
        <f>'таблица (всего)'!D165</f>
        <v>32892200</v>
      </c>
      <c r="C14" s="303">
        <f>'таблица (всего)'!E165</f>
        <v>32245329.760000002</v>
      </c>
      <c r="D14" s="303">
        <f>'таблица (всего)'!F165</f>
        <v>30100000</v>
      </c>
      <c r="E14" s="303">
        <f>'таблица (всего)'!G165</f>
        <v>28600000</v>
      </c>
      <c r="F14" s="303">
        <f>'таблица (всего)'!H165</f>
        <v>28600000</v>
      </c>
      <c r="G14" s="303">
        <f>'таблица (всего)'!I165</f>
        <v>28600000</v>
      </c>
      <c r="H14" s="303">
        <f>'таблица (всего)'!J165</f>
        <v>28600000</v>
      </c>
      <c r="I14" s="303">
        <f>'таблица (всего)'!K165</f>
        <v>209637529.75999999</v>
      </c>
    </row>
    <row r="15" spans="1:9" x14ac:dyDescent="0.25">
      <c r="A15" s="296" t="s">
        <v>225</v>
      </c>
      <c r="B15" s="304">
        <f>B14</f>
        <v>32892200</v>
      </c>
      <c r="C15" s="304">
        <f t="shared" ref="C15:I15" si="2">C14</f>
        <v>32245329.760000002</v>
      </c>
      <c r="D15" s="304">
        <f t="shared" si="2"/>
        <v>30100000</v>
      </c>
      <c r="E15" s="304">
        <f t="shared" si="2"/>
        <v>28600000</v>
      </c>
      <c r="F15" s="304">
        <f t="shared" si="2"/>
        <v>28600000</v>
      </c>
      <c r="G15" s="304">
        <f t="shared" si="2"/>
        <v>28600000</v>
      </c>
      <c r="H15" s="304">
        <f t="shared" si="2"/>
        <v>28600000</v>
      </c>
      <c r="I15" s="304">
        <f t="shared" si="2"/>
        <v>209637529.75999999</v>
      </c>
    </row>
    <row r="16" spans="1:9" x14ac:dyDescent="0.25">
      <c r="A16" s="297" t="s">
        <v>282</v>
      </c>
      <c r="B16" s="305">
        <f>0</f>
        <v>0</v>
      </c>
      <c r="C16" s="305">
        <f>0</f>
        <v>0</v>
      </c>
      <c r="D16" s="305">
        <f>0</f>
        <v>0</v>
      </c>
      <c r="E16" s="305">
        <f>0</f>
        <v>0</v>
      </c>
      <c r="F16" s="305">
        <f>0</f>
        <v>0</v>
      </c>
      <c r="G16" s="305">
        <f>0</f>
        <v>0</v>
      </c>
      <c r="H16" s="305">
        <f>0</f>
        <v>0</v>
      </c>
      <c r="I16" s="305">
        <f>0</f>
        <v>0</v>
      </c>
    </row>
    <row r="17" spans="1:9" ht="15.75" thickBot="1" x14ac:dyDescent="0.3">
      <c r="A17" s="299" t="s">
        <v>283</v>
      </c>
      <c r="B17" s="307">
        <f>B15-B16</f>
        <v>32892200</v>
      </c>
      <c r="C17" s="307">
        <f t="shared" ref="C17:I17" si="3">C15-C16</f>
        <v>32245329.760000002</v>
      </c>
      <c r="D17" s="307">
        <f t="shared" si="3"/>
        <v>30100000</v>
      </c>
      <c r="E17" s="307">
        <f t="shared" si="3"/>
        <v>28600000</v>
      </c>
      <c r="F17" s="307">
        <f t="shared" si="3"/>
        <v>28600000</v>
      </c>
      <c r="G17" s="307">
        <f t="shared" si="3"/>
        <v>28600000</v>
      </c>
      <c r="H17" s="307">
        <f t="shared" si="3"/>
        <v>28600000</v>
      </c>
      <c r="I17" s="307">
        <f t="shared" si="3"/>
        <v>209637529.75999999</v>
      </c>
    </row>
    <row r="18" spans="1:9" ht="30" customHeight="1" thickBot="1" x14ac:dyDescent="0.3">
      <c r="A18" s="295" t="str">
        <f>'таблица (всего)'!C173</f>
        <v>Обеспечение безопасности граждан и профилактика правонарушений в Ивановской области</v>
      </c>
      <c r="B18" s="303">
        <f>'таблица (всего)'!D173</f>
        <v>564700</v>
      </c>
      <c r="C18" s="303">
        <f>'таблица (всего)'!E173</f>
        <v>503965</v>
      </c>
      <c r="D18" s="303">
        <f>'таблица (всего)'!F173</f>
        <v>503965</v>
      </c>
      <c r="E18" s="303">
        <f>'таблица (всего)'!G173</f>
        <v>503965</v>
      </c>
      <c r="F18" s="303">
        <f>'таблица (всего)'!H173</f>
        <v>503965</v>
      </c>
      <c r="G18" s="303">
        <f>'таблица (всего)'!I173</f>
        <v>503965</v>
      </c>
      <c r="H18" s="303">
        <f>'таблица (всего)'!J173</f>
        <v>503965</v>
      </c>
      <c r="I18" s="303">
        <f>'таблица (всего)'!K173</f>
        <v>3588490</v>
      </c>
    </row>
    <row r="19" spans="1:9" x14ac:dyDescent="0.25">
      <c r="A19" s="296" t="s">
        <v>225</v>
      </c>
      <c r="B19" s="304">
        <f>B18</f>
        <v>564700</v>
      </c>
      <c r="C19" s="304">
        <f t="shared" ref="C19:I19" si="4">C18</f>
        <v>503965</v>
      </c>
      <c r="D19" s="304">
        <f t="shared" si="4"/>
        <v>503965</v>
      </c>
      <c r="E19" s="304">
        <f t="shared" si="4"/>
        <v>503965</v>
      </c>
      <c r="F19" s="304">
        <f t="shared" si="4"/>
        <v>503965</v>
      </c>
      <c r="G19" s="304">
        <f t="shared" si="4"/>
        <v>503965</v>
      </c>
      <c r="H19" s="304">
        <f t="shared" si="4"/>
        <v>503965</v>
      </c>
      <c r="I19" s="304">
        <f t="shared" si="4"/>
        <v>3588490</v>
      </c>
    </row>
    <row r="20" spans="1:9" x14ac:dyDescent="0.25">
      <c r="A20" s="297" t="s">
        <v>282</v>
      </c>
      <c r="B20" s="305">
        <f>0</f>
        <v>0</v>
      </c>
      <c r="C20" s="305">
        <f>0</f>
        <v>0</v>
      </c>
      <c r="D20" s="305">
        <f>0</f>
        <v>0</v>
      </c>
      <c r="E20" s="305">
        <f>0</f>
        <v>0</v>
      </c>
      <c r="F20" s="305">
        <f>0</f>
        <v>0</v>
      </c>
      <c r="G20" s="305">
        <f>0</f>
        <v>0</v>
      </c>
      <c r="H20" s="305">
        <f>0</f>
        <v>0</v>
      </c>
      <c r="I20" s="305">
        <f>0</f>
        <v>0</v>
      </c>
    </row>
    <row r="21" spans="1:9" ht="15.75" thickBot="1" x14ac:dyDescent="0.3">
      <c r="A21" s="299" t="s">
        <v>283</v>
      </c>
      <c r="B21" s="307">
        <f>B19-B20</f>
        <v>564700</v>
      </c>
      <c r="C21" s="307">
        <f t="shared" ref="C21:I21" si="5">C19-C20</f>
        <v>503965</v>
      </c>
      <c r="D21" s="307">
        <f t="shared" si="5"/>
        <v>503965</v>
      </c>
      <c r="E21" s="307">
        <f t="shared" si="5"/>
        <v>503965</v>
      </c>
      <c r="F21" s="307">
        <f t="shared" si="5"/>
        <v>503965</v>
      </c>
      <c r="G21" s="307">
        <f t="shared" si="5"/>
        <v>503965</v>
      </c>
      <c r="H21" s="307">
        <f t="shared" si="5"/>
        <v>503965</v>
      </c>
      <c r="I21" s="307">
        <f t="shared" si="5"/>
        <v>3588490</v>
      </c>
    </row>
    <row r="22" spans="1:9" ht="32.25" customHeight="1" thickBot="1" x14ac:dyDescent="0.3">
      <c r="A22" s="295" t="str">
        <f>'таблица (всего)'!C177</f>
        <v>Совершенствование институтов государственного управления и местного самоуправления Ивановской области</v>
      </c>
      <c r="B22" s="303">
        <f>'таблица (всего)'!D177</f>
        <v>45356400</v>
      </c>
      <c r="C22" s="303">
        <f>'таблица (всего)'!E177</f>
        <v>38825812.460000001</v>
      </c>
      <c r="D22" s="303">
        <f>'таблица (всего)'!F177</f>
        <v>37377585.719999999</v>
      </c>
      <c r="E22" s="303">
        <f>'таблица (всего)'!G177</f>
        <v>34939085.729999997</v>
      </c>
      <c r="F22" s="303">
        <f>'таблица (всего)'!H177</f>
        <v>34939085.729999997</v>
      </c>
      <c r="G22" s="303">
        <f>'таблица (всего)'!I177</f>
        <v>34939085.729999997</v>
      </c>
      <c r="H22" s="303">
        <f>'таблица (всего)'!J177</f>
        <v>34939085.729999997</v>
      </c>
      <c r="I22" s="303">
        <f>'таблица (всего)'!K177</f>
        <v>261316141.09999996</v>
      </c>
    </row>
    <row r="23" spans="1:9" x14ac:dyDescent="0.25">
      <c r="A23" s="296" t="s">
        <v>225</v>
      </c>
      <c r="B23" s="304">
        <f>B22</f>
        <v>45356400</v>
      </c>
      <c r="C23" s="304">
        <f t="shared" ref="C23:I23" si="6">C22</f>
        <v>38825812.460000001</v>
      </c>
      <c r="D23" s="304">
        <f t="shared" si="6"/>
        <v>37377585.719999999</v>
      </c>
      <c r="E23" s="304">
        <f t="shared" si="6"/>
        <v>34939085.729999997</v>
      </c>
      <c r="F23" s="304">
        <f t="shared" si="6"/>
        <v>34939085.729999997</v>
      </c>
      <c r="G23" s="304">
        <f t="shared" si="6"/>
        <v>34939085.729999997</v>
      </c>
      <c r="H23" s="304">
        <f t="shared" si="6"/>
        <v>34939085.729999997</v>
      </c>
      <c r="I23" s="304">
        <f t="shared" si="6"/>
        <v>261316141.09999996</v>
      </c>
    </row>
    <row r="24" spans="1:9" x14ac:dyDescent="0.25">
      <c r="A24" s="297" t="s">
        <v>282</v>
      </c>
      <c r="B24" s="305">
        <f>0</f>
        <v>0</v>
      </c>
      <c r="C24" s="305">
        <f>0</f>
        <v>0</v>
      </c>
      <c r="D24" s="305">
        <f>0</f>
        <v>0</v>
      </c>
      <c r="E24" s="305">
        <f>0</f>
        <v>0</v>
      </c>
      <c r="F24" s="305">
        <f>0</f>
        <v>0</v>
      </c>
      <c r="G24" s="305">
        <f>0</f>
        <v>0</v>
      </c>
      <c r="H24" s="305">
        <f>0</f>
        <v>0</v>
      </c>
      <c r="I24" s="305">
        <f>0</f>
        <v>0</v>
      </c>
    </row>
    <row r="25" spans="1:9" ht="15.75" thickBot="1" x14ac:dyDescent="0.3">
      <c r="A25" s="299" t="s">
        <v>283</v>
      </c>
      <c r="B25" s="307">
        <f>B23-B24</f>
        <v>45356400</v>
      </c>
      <c r="C25" s="307">
        <f t="shared" ref="C25:I25" si="7">C23-C24</f>
        <v>38825812.460000001</v>
      </c>
      <c r="D25" s="307">
        <f t="shared" si="7"/>
        <v>37377585.719999999</v>
      </c>
      <c r="E25" s="307">
        <f t="shared" si="7"/>
        <v>34939085.729999997</v>
      </c>
      <c r="F25" s="307">
        <f t="shared" si="7"/>
        <v>34939085.729999997</v>
      </c>
      <c r="G25" s="307">
        <f t="shared" si="7"/>
        <v>34939085.729999997</v>
      </c>
      <c r="H25" s="307">
        <f t="shared" si="7"/>
        <v>34939085.729999997</v>
      </c>
      <c r="I25" s="307">
        <f t="shared" si="7"/>
        <v>261316141.09999996</v>
      </c>
    </row>
    <row r="26" spans="1:9" ht="26.25" thickBot="1" x14ac:dyDescent="0.3">
      <c r="A26" s="295" t="str">
        <f>'таблица (всего)'!C182</f>
        <v>Долгосрочная сбалансированность и устойчисвость бюджетной системы Ивановской области</v>
      </c>
      <c r="B26" s="303">
        <f>'таблица (всего)'!D182</f>
        <v>350000</v>
      </c>
      <c r="C26" s="303">
        <f>'таблица (всего)'!E182</f>
        <v>0</v>
      </c>
      <c r="D26" s="303">
        <f>'таблица (всего)'!F182</f>
        <v>0</v>
      </c>
      <c r="E26" s="303">
        <f>'таблица (всего)'!G182</f>
        <v>0</v>
      </c>
      <c r="F26" s="303">
        <f>'таблица (всего)'!H182</f>
        <v>0</v>
      </c>
      <c r="G26" s="303">
        <f>'таблица (всего)'!I182</f>
        <v>0</v>
      </c>
      <c r="H26" s="303">
        <f>'таблица (всего)'!J182</f>
        <v>0</v>
      </c>
      <c r="I26" s="303">
        <f>'таблица (всего)'!K182</f>
        <v>350000</v>
      </c>
    </row>
    <row r="27" spans="1:9" x14ac:dyDescent="0.25">
      <c r="A27" s="296" t="s">
        <v>225</v>
      </c>
      <c r="B27" s="304">
        <f>B26</f>
        <v>350000</v>
      </c>
      <c r="C27" s="304">
        <f t="shared" ref="C27:I27" si="8">C26</f>
        <v>0</v>
      </c>
      <c r="D27" s="304">
        <f t="shared" si="8"/>
        <v>0</v>
      </c>
      <c r="E27" s="304">
        <f t="shared" si="8"/>
        <v>0</v>
      </c>
      <c r="F27" s="304">
        <f t="shared" si="8"/>
        <v>0</v>
      </c>
      <c r="G27" s="304">
        <f t="shared" si="8"/>
        <v>0</v>
      </c>
      <c r="H27" s="304">
        <f t="shared" si="8"/>
        <v>0</v>
      </c>
      <c r="I27" s="304">
        <f t="shared" si="8"/>
        <v>350000</v>
      </c>
    </row>
    <row r="28" spans="1:9" x14ac:dyDescent="0.25">
      <c r="A28" s="297" t="s">
        <v>282</v>
      </c>
      <c r="B28" s="305">
        <f>0</f>
        <v>0</v>
      </c>
      <c r="C28" s="305">
        <f>0</f>
        <v>0</v>
      </c>
      <c r="D28" s="305">
        <f>0</f>
        <v>0</v>
      </c>
      <c r="E28" s="305">
        <f>0</f>
        <v>0</v>
      </c>
      <c r="F28" s="305">
        <f>0</f>
        <v>0</v>
      </c>
      <c r="G28" s="305">
        <f>0</f>
        <v>0</v>
      </c>
      <c r="H28" s="305">
        <f>0</f>
        <v>0</v>
      </c>
      <c r="I28" s="305">
        <f>0</f>
        <v>0</v>
      </c>
    </row>
    <row r="29" spans="1:9" ht="15.75" thickBot="1" x14ac:dyDescent="0.3">
      <c r="A29" s="300" t="s">
        <v>283</v>
      </c>
      <c r="B29" s="308">
        <f>B27-B28</f>
        <v>350000</v>
      </c>
      <c r="C29" s="308">
        <f t="shared" ref="C29:I29" si="9">C27-C28</f>
        <v>0</v>
      </c>
      <c r="D29" s="308">
        <f t="shared" si="9"/>
        <v>0</v>
      </c>
      <c r="E29" s="308">
        <f t="shared" si="9"/>
        <v>0</v>
      </c>
      <c r="F29" s="308">
        <f t="shared" si="9"/>
        <v>0</v>
      </c>
      <c r="G29" s="308">
        <f t="shared" si="9"/>
        <v>0</v>
      </c>
      <c r="H29" s="308">
        <f t="shared" si="9"/>
        <v>0</v>
      </c>
      <c r="I29" s="308">
        <f t="shared" si="9"/>
        <v>350000</v>
      </c>
    </row>
    <row r="31" spans="1:9" x14ac:dyDescent="0.25">
      <c r="A31" s="358" t="s">
        <v>322</v>
      </c>
      <c r="B31" s="173">
        <f>B32+B33+B35+B36</f>
        <v>5921517433.7600002</v>
      </c>
      <c r="C31" s="173">
        <f t="shared" ref="C31:H31" si="10">C32+C33+C35+C36</f>
        <v>5976657477.8600006</v>
      </c>
      <c r="D31" s="173">
        <f t="shared" si="10"/>
        <v>5701958633.9800005</v>
      </c>
      <c r="E31" s="173">
        <f t="shared" si="10"/>
        <v>5209905934.789999</v>
      </c>
      <c r="F31" s="173">
        <f t="shared" si="10"/>
        <v>5205101134.789999</v>
      </c>
      <c r="G31" s="173">
        <f t="shared" si="10"/>
        <v>5203268534.79</v>
      </c>
      <c r="H31" s="173">
        <f t="shared" si="10"/>
        <v>5118825834.79</v>
      </c>
      <c r="I31" s="292"/>
    </row>
    <row r="32" spans="1:9" x14ac:dyDescent="0.25">
      <c r="A32" s="72" t="s">
        <v>161</v>
      </c>
      <c r="B32" s="5">
        <f>B5+B8+B12+B16+B20+B24+B28</f>
        <v>862147889.75999999</v>
      </c>
      <c r="C32" s="5">
        <f t="shared" ref="C32:H32" si="11">C5+C8+C12+C16+C20+C24+C28</f>
        <v>637382220.17000008</v>
      </c>
      <c r="D32" s="5">
        <f t="shared" si="11"/>
        <v>467512400</v>
      </c>
      <c r="E32" s="5">
        <f t="shared" si="11"/>
        <v>91080100</v>
      </c>
      <c r="F32" s="5">
        <f t="shared" si="11"/>
        <v>86275300</v>
      </c>
      <c r="G32" s="5">
        <f t="shared" si="11"/>
        <v>84442700</v>
      </c>
      <c r="H32" s="5">
        <f t="shared" si="11"/>
        <v>0</v>
      </c>
      <c r="I32" s="292"/>
    </row>
    <row r="33" spans="1:9" ht="25.5" x14ac:dyDescent="0.25">
      <c r="A33" s="72" t="s">
        <v>332</v>
      </c>
      <c r="B33" s="5">
        <f>'таблица (всего)'!D193</f>
        <v>5059000</v>
      </c>
      <c r="C33" s="5">
        <f>'таблица (всего)'!E193</f>
        <v>7750400</v>
      </c>
      <c r="D33" s="5">
        <f>'таблица (всего)'!F193</f>
        <v>839600</v>
      </c>
      <c r="E33" s="5">
        <f>'таблица (всего)'!G193</f>
        <v>0</v>
      </c>
      <c r="F33" s="5">
        <f>'таблица (всего)'!H193</f>
        <v>0</v>
      </c>
      <c r="G33" s="5">
        <f>'таблица (всего)'!I193</f>
        <v>0</v>
      </c>
      <c r="H33" s="5">
        <f>'таблица (всего)'!J193</f>
        <v>0</v>
      </c>
      <c r="I33" s="292"/>
    </row>
    <row r="34" spans="1:9" x14ac:dyDescent="0.25">
      <c r="A34" s="358" t="s">
        <v>424</v>
      </c>
      <c r="B34" s="173">
        <f>B32+B33</f>
        <v>867206889.75999999</v>
      </c>
      <c r="C34" s="173">
        <f t="shared" ref="C34:H34" si="12">C32+C33</f>
        <v>645132620.17000008</v>
      </c>
      <c r="D34" s="173">
        <f t="shared" si="12"/>
        <v>468352000</v>
      </c>
      <c r="E34" s="173">
        <f t="shared" si="12"/>
        <v>91080100</v>
      </c>
      <c r="F34" s="173">
        <f t="shared" si="12"/>
        <v>86275300</v>
      </c>
      <c r="G34" s="173">
        <f t="shared" si="12"/>
        <v>84442700</v>
      </c>
      <c r="H34" s="173">
        <f t="shared" si="12"/>
        <v>0</v>
      </c>
      <c r="I34" s="292"/>
    </row>
    <row r="35" spans="1:9" x14ac:dyDescent="0.25">
      <c r="A35" s="72" t="s">
        <v>162</v>
      </c>
      <c r="B35" s="5">
        <f>B6+B7+B13+B17+B21+B25+B29</f>
        <v>5039322144</v>
      </c>
      <c r="C35" s="5">
        <f t="shared" ref="C35:H35" si="13">C6+C7+C13+C17+C21+C25+C29</f>
        <v>5322154558.3900003</v>
      </c>
      <c r="D35" s="5">
        <f t="shared" si="13"/>
        <v>5217306633.9800005</v>
      </c>
      <c r="E35" s="5">
        <f t="shared" si="13"/>
        <v>5118825834.789999</v>
      </c>
      <c r="F35" s="5">
        <f t="shared" si="13"/>
        <v>5118825834.789999</v>
      </c>
      <c r="G35" s="5">
        <f t="shared" si="13"/>
        <v>5118825834.79</v>
      </c>
      <c r="H35" s="5">
        <f t="shared" si="13"/>
        <v>5118825834.79</v>
      </c>
      <c r="I35" s="292"/>
    </row>
    <row r="36" spans="1:9" x14ac:dyDescent="0.25">
      <c r="A36" s="72" t="s">
        <v>323</v>
      </c>
      <c r="B36" s="5">
        <f>'таблица (всего)'!D188+'таблица (всего)'!D192+'таблица (всего)'!D194</f>
        <v>14988400</v>
      </c>
      <c r="C36" s="5">
        <f>'таблица (всего)'!E188+'таблица (всего)'!E192+'таблица (всего)'!E194</f>
        <v>9370299.3000000007</v>
      </c>
      <c r="D36" s="5">
        <f>'таблица (всего)'!F188+'таблица (всего)'!F192+'таблица (всего)'!F194</f>
        <v>16300000</v>
      </c>
      <c r="E36" s="5">
        <f>'таблица (всего)'!G188+'таблица (всего)'!G192+'таблица (всего)'!G194</f>
        <v>0</v>
      </c>
      <c r="F36" s="5">
        <f>'таблица (всего)'!H188+'таблица (всего)'!H192+'таблица (всего)'!H194</f>
        <v>0</v>
      </c>
      <c r="G36" s="5">
        <f>'таблица (всего)'!I188+'таблица (всего)'!I192+'таблица (всего)'!I194</f>
        <v>0</v>
      </c>
      <c r="H36" s="5">
        <f>'таблица (всего)'!J188+'таблица (всего)'!J192+'таблица (всего)'!J194</f>
        <v>0</v>
      </c>
      <c r="I36" s="292"/>
    </row>
    <row r="37" spans="1:9" x14ac:dyDescent="0.25">
      <c r="A37" s="358" t="s">
        <v>423</v>
      </c>
      <c r="B37" s="173">
        <f>B35+B36</f>
        <v>5054310544</v>
      </c>
      <c r="C37" s="173">
        <f t="shared" ref="C37:H37" si="14">C35+C36</f>
        <v>5331524857.6900005</v>
      </c>
      <c r="D37" s="173">
        <f t="shared" si="14"/>
        <v>5233606633.9800005</v>
      </c>
      <c r="E37" s="173">
        <f t="shared" si="14"/>
        <v>5118825834.789999</v>
      </c>
      <c r="F37" s="173">
        <f t="shared" si="14"/>
        <v>5118825834.789999</v>
      </c>
      <c r="G37" s="173">
        <f t="shared" si="14"/>
        <v>5118825834.79</v>
      </c>
      <c r="H37" s="173">
        <f t="shared" si="14"/>
        <v>5118825834.79</v>
      </c>
      <c r="I37" s="292"/>
    </row>
    <row r="38" spans="1:9" x14ac:dyDescent="0.25">
      <c r="A38" s="72"/>
      <c r="B38" s="292"/>
      <c r="C38" s="292"/>
      <c r="D38" s="292"/>
      <c r="E38" s="292"/>
      <c r="F38" s="292"/>
      <c r="G38" s="292"/>
      <c r="H38" s="292"/>
      <c r="I38" s="292"/>
    </row>
    <row r="39" spans="1:9" x14ac:dyDescent="0.25">
      <c r="A39" s="358" t="s">
        <v>321</v>
      </c>
      <c r="B39" s="173">
        <f t="shared" ref="B39:H39" si="15">B9</f>
        <v>7839427400</v>
      </c>
      <c r="C39" s="173">
        <f t="shared" si="15"/>
        <v>8980440100</v>
      </c>
      <c r="D39" s="173">
        <f t="shared" si="15"/>
        <v>8686826900</v>
      </c>
      <c r="E39" s="173">
        <f t="shared" si="15"/>
        <v>9313583900</v>
      </c>
      <c r="F39" s="173">
        <f t="shared" si="15"/>
        <v>10369593900</v>
      </c>
      <c r="G39" s="173">
        <f t="shared" si="15"/>
        <v>10909676400</v>
      </c>
      <c r="H39" s="173">
        <f t="shared" si="15"/>
        <v>10909676400</v>
      </c>
      <c r="I39" s="292"/>
    </row>
    <row r="40" spans="1:9" x14ac:dyDescent="0.25">
      <c r="A40" s="72" t="s">
        <v>319</v>
      </c>
      <c r="B40" s="5">
        <f>'таблица (всего)'!D120</f>
        <v>2961964300</v>
      </c>
      <c r="C40" s="5">
        <f>'таблица (всего)'!E120</f>
        <v>3997725000</v>
      </c>
      <c r="D40" s="5">
        <f>'таблица (всего)'!F120</f>
        <v>3894508000</v>
      </c>
      <c r="E40" s="5">
        <f>'таблица (всего)'!G121</f>
        <v>3893885500</v>
      </c>
      <c r="F40" s="5">
        <f>'таблица (всего)'!H121</f>
        <v>3893885500</v>
      </c>
      <c r="G40" s="5">
        <f>'таблица (всего)'!I121</f>
        <v>3893885500</v>
      </c>
      <c r="H40" s="5">
        <f>'таблица (всего)'!J121</f>
        <v>3893885500</v>
      </c>
      <c r="I40" s="292"/>
    </row>
    <row r="41" spans="1:9" ht="25.5" x14ac:dyDescent="0.25">
      <c r="A41" s="72" t="s">
        <v>320</v>
      </c>
      <c r="B41" s="5">
        <f>B39-B40</f>
        <v>4877463100</v>
      </c>
      <c r="C41" s="5">
        <f t="shared" ref="C41:H41" si="16">C39-C40</f>
        <v>4982715100</v>
      </c>
      <c r="D41" s="5">
        <f t="shared" si="16"/>
        <v>4792318900</v>
      </c>
      <c r="E41" s="5">
        <f t="shared" si="16"/>
        <v>5419698400</v>
      </c>
      <c r="F41" s="5">
        <f t="shared" si="16"/>
        <v>6475708400</v>
      </c>
      <c r="G41" s="5">
        <f t="shared" si="16"/>
        <v>7015790900</v>
      </c>
      <c r="H41" s="5">
        <f t="shared" si="16"/>
        <v>7015790900</v>
      </c>
      <c r="I41" s="292"/>
    </row>
    <row r="42" spans="1:9" x14ac:dyDescent="0.25">
      <c r="A42" s="72" t="s">
        <v>329</v>
      </c>
      <c r="B42" s="6">
        <f>B43+B44+B45+B46+B47+B48</f>
        <v>10778933133.76</v>
      </c>
      <c r="C42" s="6">
        <f t="shared" ref="C42:H42" si="17">C43+C44+C45+C46+C47+C48</f>
        <v>10942251878.559999</v>
      </c>
      <c r="D42" s="6">
        <f t="shared" si="17"/>
        <v>10477137933.980001</v>
      </c>
      <c r="E42" s="6">
        <f t="shared" si="17"/>
        <v>10629604334.790001</v>
      </c>
      <c r="F42" s="6">
        <f t="shared" si="17"/>
        <v>11680809534.790001</v>
      </c>
      <c r="G42" s="6">
        <f t="shared" si="17"/>
        <v>12219059434.790001</v>
      </c>
      <c r="H42" s="6">
        <f t="shared" si="17"/>
        <v>12134616734.790001</v>
      </c>
      <c r="I42" s="292"/>
    </row>
    <row r="43" spans="1:9" x14ac:dyDescent="0.25">
      <c r="A43" s="359" t="s">
        <v>425</v>
      </c>
      <c r="B43" s="360">
        <f t="shared" ref="B43:H43" si="18">B3-B40</f>
        <v>10631127733.76</v>
      </c>
      <c r="C43" s="360">
        <f t="shared" si="18"/>
        <v>10801728930.66</v>
      </c>
      <c r="D43" s="360">
        <f t="shared" si="18"/>
        <v>10341829661.650002</v>
      </c>
      <c r="E43" s="360">
        <f t="shared" si="18"/>
        <v>10502763854.700001</v>
      </c>
      <c r="F43" s="360">
        <f t="shared" si="18"/>
        <v>11554230690.700001</v>
      </c>
      <c r="G43" s="360">
        <f t="shared" si="18"/>
        <v>12091913214.290001</v>
      </c>
      <c r="H43" s="360">
        <f t="shared" si="18"/>
        <v>12007470514.290001</v>
      </c>
      <c r="I43" s="292"/>
    </row>
    <row r="44" spans="1:9" x14ac:dyDescent="0.25">
      <c r="A44" s="293" t="s">
        <v>324</v>
      </c>
      <c r="B44" s="5">
        <f>B10</f>
        <v>68642100</v>
      </c>
      <c r="C44" s="5">
        <f t="shared" ref="C44:H44" si="19">C10</f>
        <v>68947840.680000007</v>
      </c>
      <c r="D44" s="5">
        <f t="shared" si="19"/>
        <v>67326721.609999999</v>
      </c>
      <c r="E44" s="5">
        <f t="shared" si="19"/>
        <v>62797429.359999992</v>
      </c>
      <c r="F44" s="5">
        <f t="shared" si="19"/>
        <v>62535793.359999992</v>
      </c>
      <c r="G44" s="5">
        <f t="shared" si="19"/>
        <v>63103169.769999996</v>
      </c>
      <c r="H44" s="5">
        <f t="shared" si="19"/>
        <v>63103169.769999996</v>
      </c>
      <c r="I44" s="292"/>
    </row>
    <row r="45" spans="1:9" x14ac:dyDescent="0.25">
      <c r="A45" s="293" t="s">
        <v>325</v>
      </c>
      <c r="B45" s="5">
        <f>B14</f>
        <v>32892200</v>
      </c>
      <c r="C45" s="5">
        <f t="shared" ref="C45:H45" si="20">C14</f>
        <v>32245329.760000002</v>
      </c>
      <c r="D45" s="5">
        <f t="shared" si="20"/>
        <v>30100000</v>
      </c>
      <c r="E45" s="5">
        <f t="shared" si="20"/>
        <v>28600000</v>
      </c>
      <c r="F45" s="5">
        <f t="shared" si="20"/>
        <v>28600000</v>
      </c>
      <c r="G45" s="5">
        <f t="shared" si="20"/>
        <v>28600000</v>
      </c>
      <c r="H45" s="5">
        <f t="shared" si="20"/>
        <v>28600000</v>
      </c>
      <c r="I45" s="292"/>
    </row>
    <row r="46" spans="1:9" x14ac:dyDescent="0.25">
      <c r="A46" s="293" t="s">
        <v>326</v>
      </c>
      <c r="B46" s="5">
        <f>B18</f>
        <v>564700</v>
      </c>
      <c r="C46" s="5">
        <f t="shared" ref="C46:H46" si="21">C18</f>
        <v>503965</v>
      </c>
      <c r="D46" s="5">
        <f t="shared" si="21"/>
        <v>503965</v>
      </c>
      <c r="E46" s="5">
        <f t="shared" si="21"/>
        <v>503965</v>
      </c>
      <c r="F46" s="5">
        <f t="shared" si="21"/>
        <v>503965</v>
      </c>
      <c r="G46" s="5">
        <f t="shared" si="21"/>
        <v>503965</v>
      </c>
      <c r="H46" s="5">
        <f t="shared" si="21"/>
        <v>503965</v>
      </c>
      <c r="I46" s="292"/>
    </row>
    <row r="47" spans="1:9" x14ac:dyDescent="0.25">
      <c r="A47" s="293" t="s">
        <v>327</v>
      </c>
      <c r="B47" s="5">
        <f>B22</f>
        <v>45356400</v>
      </c>
      <c r="C47" s="5">
        <f t="shared" ref="C47:H47" si="22">C22</f>
        <v>38825812.460000001</v>
      </c>
      <c r="D47" s="5">
        <f t="shared" si="22"/>
        <v>37377585.719999999</v>
      </c>
      <c r="E47" s="5">
        <f t="shared" si="22"/>
        <v>34939085.729999997</v>
      </c>
      <c r="F47" s="5">
        <f t="shared" si="22"/>
        <v>34939085.729999997</v>
      </c>
      <c r="G47" s="5">
        <f t="shared" si="22"/>
        <v>34939085.729999997</v>
      </c>
      <c r="H47" s="5">
        <f t="shared" si="22"/>
        <v>34939085.729999997</v>
      </c>
      <c r="I47" s="292"/>
    </row>
    <row r="48" spans="1:9" x14ac:dyDescent="0.25">
      <c r="A48" s="293" t="s">
        <v>328</v>
      </c>
      <c r="B48" s="5">
        <f>B26</f>
        <v>350000</v>
      </c>
      <c r="C48" s="5">
        <f t="shared" ref="C48:H48" si="23">C26</f>
        <v>0</v>
      </c>
      <c r="D48" s="5">
        <f t="shared" si="23"/>
        <v>0</v>
      </c>
      <c r="E48" s="5">
        <f t="shared" si="23"/>
        <v>0</v>
      </c>
      <c r="F48" s="5">
        <f t="shared" si="23"/>
        <v>0</v>
      </c>
      <c r="G48" s="5">
        <f t="shared" si="23"/>
        <v>0</v>
      </c>
      <c r="H48" s="5">
        <f t="shared" si="23"/>
        <v>0</v>
      </c>
      <c r="I48" s="292"/>
    </row>
    <row r="49" spans="1:9" x14ac:dyDescent="0.25">
      <c r="A49" s="72"/>
      <c r="B49" s="292"/>
      <c r="C49" s="292"/>
      <c r="D49" s="292"/>
      <c r="E49" s="292"/>
      <c r="F49" s="292"/>
      <c r="G49" s="292"/>
      <c r="H49" s="292"/>
      <c r="I49" s="292"/>
    </row>
    <row r="50" spans="1:9" x14ac:dyDescent="0.25">
      <c r="A50" s="72"/>
      <c r="B50" s="292"/>
      <c r="C50" s="5"/>
      <c r="D50" s="292"/>
      <c r="E50" s="292"/>
      <c r="F50" s="292"/>
      <c r="G50" s="292"/>
      <c r="H50" s="292"/>
      <c r="I50" s="292"/>
    </row>
    <row r="51" spans="1:9" x14ac:dyDescent="0.25">
      <c r="A51" s="70"/>
      <c r="B51" s="292"/>
      <c r="C51" s="5"/>
      <c r="D51" s="292"/>
      <c r="E51" s="292"/>
      <c r="F51" s="292"/>
      <c r="G51" s="292"/>
      <c r="H51" s="292"/>
      <c r="I51" s="292"/>
    </row>
    <row r="52" spans="1:9" x14ac:dyDescent="0.25">
      <c r="A52" s="70"/>
      <c r="B52" s="292"/>
      <c r="C52" s="292"/>
      <c r="D52" s="292"/>
      <c r="E52" s="292"/>
      <c r="F52" s="292"/>
      <c r="G52" s="292"/>
      <c r="H52" s="292"/>
      <c r="I52" s="292"/>
    </row>
    <row r="53" spans="1:9" x14ac:dyDescent="0.25">
      <c r="A53" s="70"/>
      <c r="B53" s="292"/>
      <c r="C53" s="292"/>
      <c r="D53" s="292"/>
      <c r="E53" s="292"/>
      <c r="F53" s="292"/>
      <c r="G53" s="292"/>
      <c r="H53" s="292"/>
      <c r="I53" s="292"/>
    </row>
    <row r="54" spans="1:9" x14ac:dyDescent="0.25">
      <c r="B54" s="292"/>
      <c r="C54" s="292"/>
      <c r="D54" s="292"/>
      <c r="E54" s="292"/>
      <c r="F54" s="292"/>
      <c r="G54" s="292"/>
      <c r="H54" s="292"/>
      <c r="I54" s="292"/>
    </row>
    <row r="55" spans="1:9" x14ac:dyDescent="0.25">
      <c r="B55" s="292"/>
      <c r="C55" s="292"/>
      <c r="D55" s="292"/>
      <c r="E55" s="292"/>
      <c r="F55" s="292"/>
      <c r="G55" s="292"/>
      <c r="H55" s="292"/>
      <c r="I55" s="292"/>
    </row>
    <row r="56" spans="1:9" x14ac:dyDescent="0.25">
      <c r="B56" s="292"/>
      <c r="C56" s="292"/>
      <c r="D56" s="292"/>
      <c r="E56" s="292"/>
      <c r="F56" s="292"/>
      <c r="G56" s="292"/>
      <c r="H56" s="292"/>
      <c r="I56" s="292"/>
    </row>
    <row r="57" spans="1:9" x14ac:dyDescent="0.25">
      <c r="B57" s="284"/>
      <c r="C57" s="284"/>
      <c r="D57" s="284"/>
      <c r="E57" s="284"/>
      <c r="F57" s="284"/>
      <c r="G57" s="284"/>
      <c r="H57" s="284"/>
      <c r="I57" s="284"/>
    </row>
    <row r="58" spans="1:9" x14ac:dyDescent="0.25">
      <c r="B58" s="284"/>
      <c r="C58" s="284"/>
      <c r="D58" s="284"/>
      <c r="E58" s="284"/>
      <c r="F58" s="284"/>
      <c r="G58" s="284"/>
      <c r="H58" s="284"/>
      <c r="I58" s="284"/>
    </row>
    <row r="59" spans="1:9" x14ac:dyDescent="0.25">
      <c r="B59" s="284"/>
      <c r="C59" s="284"/>
      <c r="D59" s="284"/>
      <c r="E59" s="284"/>
      <c r="F59" s="284"/>
      <c r="G59" s="284"/>
      <c r="H59" s="284"/>
      <c r="I59" s="284"/>
    </row>
    <row r="60" spans="1:9" x14ac:dyDescent="0.25">
      <c r="B60" s="284"/>
      <c r="C60" s="284"/>
      <c r="D60" s="284"/>
      <c r="E60" s="284"/>
      <c r="F60" s="284"/>
      <c r="G60" s="284"/>
      <c r="H60" s="284"/>
      <c r="I60" s="284"/>
    </row>
    <row r="61" spans="1:9" x14ac:dyDescent="0.25">
      <c r="B61" s="284"/>
      <c r="C61" s="284"/>
      <c r="D61" s="284"/>
      <c r="E61" s="284"/>
      <c r="F61" s="284"/>
      <c r="G61" s="284"/>
      <c r="H61" s="284"/>
      <c r="I61" s="284"/>
    </row>
    <row r="62" spans="1:9" x14ac:dyDescent="0.25">
      <c r="B62" s="284"/>
      <c r="C62" s="284"/>
      <c r="D62" s="284"/>
      <c r="E62" s="284"/>
      <c r="F62" s="284"/>
      <c r="G62" s="284"/>
      <c r="H62" s="284"/>
      <c r="I62" s="284"/>
    </row>
    <row r="63" spans="1:9" x14ac:dyDescent="0.25">
      <c r="B63" s="284"/>
      <c r="C63" s="284"/>
      <c r="D63" s="284"/>
      <c r="E63" s="284"/>
      <c r="F63" s="284"/>
      <c r="G63" s="284"/>
      <c r="H63" s="284"/>
      <c r="I63" s="284"/>
    </row>
    <row r="64" spans="1:9" x14ac:dyDescent="0.25">
      <c r="B64" s="284"/>
      <c r="C64" s="284"/>
      <c r="D64" s="284"/>
      <c r="E64" s="284"/>
      <c r="F64" s="284"/>
      <c r="G64" s="284"/>
      <c r="H64" s="284"/>
      <c r="I64" s="284"/>
    </row>
  </sheetData>
  <pageMargins left="0.70866141732283472" right="0.70866141732283472" top="0.47244094488188981" bottom="0.47244094488188981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1"/>
  <sheetViews>
    <sheetView topLeftCell="A48" zoomScale="90" zoomScaleNormal="90" workbookViewId="0">
      <selection activeCell="J18" sqref="J18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312" customWidth="1"/>
    <col min="11" max="11" width="12.42578125" bestFit="1" customWidth="1"/>
  </cols>
  <sheetData>
    <row r="1" spans="1:17" ht="87.75" customHeight="1" x14ac:dyDescent="0.25">
      <c r="A1" s="232"/>
      <c r="B1" s="219"/>
      <c r="C1" s="232"/>
      <c r="D1" s="235"/>
      <c r="E1" s="235"/>
      <c r="F1" s="235"/>
      <c r="I1" s="1091" t="s">
        <v>263</v>
      </c>
      <c r="J1" s="1091"/>
    </row>
    <row r="2" spans="1:17" ht="18.75" x14ac:dyDescent="0.25">
      <c r="A2" s="1087" t="s">
        <v>262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20"/>
      <c r="C4" s="233"/>
      <c r="D4" s="233"/>
      <c r="E4" s="233"/>
      <c r="F4" s="235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311">
        <v>2016</v>
      </c>
      <c r="G5" s="311">
        <v>2017</v>
      </c>
      <c r="H5" s="311">
        <v>2018</v>
      </c>
      <c r="I5" s="311">
        <v>2019</v>
      </c>
      <c r="J5" s="311">
        <v>2020</v>
      </c>
    </row>
    <row r="6" spans="1:17" x14ac:dyDescent="0.25">
      <c r="A6" s="246"/>
      <c r="B6" s="246" t="s">
        <v>224</v>
      </c>
      <c r="C6" s="246"/>
      <c r="D6" s="147">
        <f>D7</f>
        <v>75327200</v>
      </c>
      <c r="E6" s="147">
        <f t="shared" ref="E6:J7" si="0">E7</f>
        <v>75225288.870000005</v>
      </c>
      <c r="F6" s="147">
        <f t="shared" si="0"/>
        <v>78333293.050000012</v>
      </c>
      <c r="G6" s="147">
        <f t="shared" si="0"/>
        <v>148646856.55999997</v>
      </c>
      <c r="H6" s="147">
        <f t="shared" si="0"/>
        <v>148908492.55999997</v>
      </c>
      <c r="I6" s="147">
        <f t="shared" si="0"/>
        <v>148340010.51999998</v>
      </c>
      <c r="J6" s="147">
        <f t="shared" si="0"/>
        <v>148340010.51999998</v>
      </c>
      <c r="K6" s="222">
        <f>D6-'таблица (всего)'!D99</f>
        <v>0</v>
      </c>
      <c r="L6" s="222">
        <f>E6-'таблица (всего)'!E99</f>
        <v>0</v>
      </c>
      <c r="M6" s="222">
        <f>F6-'таблица (всего)'!F99</f>
        <v>-219570</v>
      </c>
      <c r="N6" s="222">
        <f>G6-'таблица (всего)'!G99</f>
        <v>-300000</v>
      </c>
      <c r="O6" s="222">
        <f>H6-'таблица (всего)'!H99</f>
        <v>-300000</v>
      </c>
      <c r="P6" s="222">
        <f>I6-'таблица (всего)'!I99</f>
        <v>-300000</v>
      </c>
      <c r="Q6" s="222">
        <f>J6-'таблица (всего)'!J99</f>
        <v>-300000</v>
      </c>
    </row>
    <row r="7" spans="1:17" x14ac:dyDescent="0.25">
      <c r="A7" s="246"/>
      <c r="B7" s="246" t="s">
        <v>225</v>
      </c>
      <c r="C7" s="1096"/>
      <c r="D7" s="147">
        <f>D8</f>
        <v>75327200</v>
      </c>
      <c r="E7" s="147">
        <f t="shared" si="0"/>
        <v>75225288.870000005</v>
      </c>
      <c r="F7" s="147">
        <f t="shared" si="0"/>
        <v>78333293.050000012</v>
      </c>
      <c r="G7" s="147">
        <f t="shared" si="0"/>
        <v>148646856.55999997</v>
      </c>
      <c r="H7" s="147">
        <f t="shared" si="0"/>
        <v>148908492.55999997</v>
      </c>
      <c r="I7" s="147">
        <f t="shared" si="0"/>
        <v>148340010.51999998</v>
      </c>
      <c r="J7" s="147">
        <f t="shared" si="0"/>
        <v>148340010.51999998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46" t="s">
        <v>177</v>
      </c>
      <c r="C8" s="1096"/>
      <c r="D8" s="147">
        <f t="shared" ref="D8:J8" si="1">D12+D36+D56</f>
        <v>75327200</v>
      </c>
      <c r="E8" s="147">
        <f t="shared" si="1"/>
        <v>75225288.870000005</v>
      </c>
      <c r="F8" s="147">
        <f t="shared" si="1"/>
        <v>78333293.050000012</v>
      </c>
      <c r="G8" s="147">
        <f t="shared" si="1"/>
        <v>148646856.55999997</v>
      </c>
      <c r="H8" s="147">
        <f t="shared" si="1"/>
        <v>148908492.55999997</v>
      </c>
      <c r="I8" s="147">
        <f t="shared" si="1"/>
        <v>148340010.51999998</v>
      </c>
      <c r="J8" s="147">
        <f t="shared" si="1"/>
        <v>148340010.51999998</v>
      </c>
      <c r="K8" s="222">
        <f>D8-'таблица (всего)'!D101</f>
        <v>0</v>
      </c>
      <c r="L8" s="222">
        <f>E8-'таблица (всего)'!E101</f>
        <v>0</v>
      </c>
      <c r="M8" s="222">
        <f>F8-'таблица (всего)'!F101</f>
        <v>-219570</v>
      </c>
      <c r="N8" s="222">
        <f>G8-'таблица (всего)'!G101</f>
        <v>-300000</v>
      </c>
      <c r="O8" s="222">
        <f>H8-'таблица (всего)'!H101</f>
        <v>-300000</v>
      </c>
      <c r="P8" s="222">
        <f>I8-'таблица (всего)'!I101</f>
        <v>-300000</v>
      </c>
      <c r="Q8" s="222">
        <f>J8-'таблица (всего)'!J101</f>
        <v>-300000</v>
      </c>
    </row>
    <row r="9" spans="1:17" x14ac:dyDescent="0.25">
      <c r="A9" s="226"/>
      <c r="B9" s="246" t="s">
        <v>178</v>
      </c>
      <c r="C9" s="1096"/>
      <c r="D9" s="239" t="s">
        <v>227</v>
      </c>
      <c r="E9" s="239" t="s">
        <v>227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</row>
    <row r="10" spans="1:17" ht="51" x14ac:dyDescent="0.25">
      <c r="A10" s="246" t="s">
        <v>228</v>
      </c>
      <c r="B10" s="247" t="str">
        <f>'таблица (всего)'!C102</f>
        <v>«Меры социальной поддержки отдельных групп населения при оказании медицинской помощи»</v>
      </c>
      <c r="C10" s="226" t="s">
        <v>180</v>
      </c>
      <c r="D10" s="147">
        <f>D11</f>
        <v>3101500</v>
      </c>
      <c r="E10" s="147">
        <f t="shared" ref="E10:J11" si="2">E11</f>
        <v>2207412.4</v>
      </c>
      <c r="F10" s="147">
        <f t="shared" si="2"/>
        <v>1707842.4</v>
      </c>
      <c r="G10" s="147">
        <f t="shared" si="2"/>
        <v>1121899.94</v>
      </c>
      <c r="H10" s="147">
        <f t="shared" si="2"/>
        <v>1121899.94</v>
      </c>
      <c r="I10" s="147">
        <f t="shared" si="2"/>
        <v>1121899.94</v>
      </c>
      <c r="J10" s="147">
        <f t="shared" si="2"/>
        <v>1121899.94</v>
      </c>
    </row>
    <row r="11" spans="1:17" x14ac:dyDescent="0.25">
      <c r="A11" s="246"/>
      <c r="B11" s="226" t="s">
        <v>225</v>
      </c>
      <c r="C11" s="1095"/>
      <c r="D11" s="147">
        <f>D12</f>
        <v>3101500</v>
      </c>
      <c r="E11" s="147">
        <f t="shared" si="2"/>
        <v>2207412.4</v>
      </c>
      <c r="F11" s="147">
        <f t="shared" si="2"/>
        <v>1707842.4</v>
      </c>
      <c r="G11" s="147">
        <f t="shared" si="2"/>
        <v>1121899.94</v>
      </c>
      <c r="H11" s="147">
        <f t="shared" si="2"/>
        <v>1121899.94</v>
      </c>
      <c r="I11" s="147">
        <f t="shared" si="2"/>
        <v>1121899.94</v>
      </c>
      <c r="J11" s="147">
        <f t="shared" si="2"/>
        <v>1121899.94</v>
      </c>
    </row>
    <row r="12" spans="1:17" x14ac:dyDescent="0.25">
      <c r="A12" s="246"/>
      <c r="B12" s="226" t="s">
        <v>177</v>
      </c>
      <c r="C12" s="1095"/>
      <c r="D12" s="147">
        <f t="shared" ref="D12:J12" si="3">D16+D20+D24+D28+D32</f>
        <v>3101500</v>
      </c>
      <c r="E12" s="147">
        <f t="shared" si="3"/>
        <v>2207412.4</v>
      </c>
      <c r="F12" s="147">
        <f t="shared" si="3"/>
        <v>1707842.4</v>
      </c>
      <c r="G12" s="147">
        <f t="shared" si="3"/>
        <v>1121899.94</v>
      </c>
      <c r="H12" s="147">
        <f t="shared" si="3"/>
        <v>1121899.94</v>
      </c>
      <c r="I12" s="147">
        <f t="shared" si="3"/>
        <v>1121899.94</v>
      </c>
      <c r="J12" s="147">
        <f t="shared" si="3"/>
        <v>1121899.94</v>
      </c>
    </row>
    <row r="13" spans="1:17" x14ac:dyDescent="0.25">
      <c r="A13" s="246"/>
      <c r="B13" s="226" t="s">
        <v>178</v>
      </c>
      <c r="C13" s="1095"/>
      <c r="D13" s="239" t="s">
        <v>227</v>
      </c>
      <c r="E13" s="239" t="s">
        <v>227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</row>
    <row r="14" spans="1:17" ht="82.5" hidden="1" customHeight="1" x14ac:dyDescent="0.25">
      <c r="A14" s="245" t="s">
        <v>234</v>
      </c>
      <c r="B14" s="229" t="str">
        <f>'таблица (всего)'!C103</f>
        <v>Обеспечение больных с хронической почечной недостаточностью, получающих процедуру диализа на аппарате «искусственная почка» в областных учреждениях здравоохранения, одноразовым лечебным питанием</v>
      </c>
      <c r="C14" s="226" t="s">
        <v>180</v>
      </c>
      <c r="D14" s="147">
        <f>D15</f>
        <v>662200</v>
      </c>
      <c r="E14" s="147">
        <f t="shared" ref="E14:J15" si="4">E15</f>
        <v>0</v>
      </c>
      <c r="F14" s="147">
        <f t="shared" si="4"/>
        <v>0</v>
      </c>
      <c r="G14" s="147">
        <f t="shared" si="4"/>
        <v>0</v>
      </c>
      <c r="H14" s="147">
        <f t="shared" si="4"/>
        <v>0</v>
      </c>
      <c r="I14" s="147">
        <f t="shared" si="4"/>
        <v>0</v>
      </c>
      <c r="J14" s="147">
        <f t="shared" si="4"/>
        <v>0</v>
      </c>
    </row>
    <row r="15" spans="1:17" hidden="1" x14ac:dyDescent="0.25">
      <c r="A15" s="226"/>
      <c r="B15" s="226" t="s">
        <v>225</v>
      </c>
      <c r="C15" s="1092"/>
      <c r="D15" s="147">
        <f>D16</f>
        <v>662200</v>
      </c>
      <c r="E15" s="147">
        <f t="shared" si="4"/>
        <v>0</v>
      </c>
      <c r="F15" s="147">
        <f t="shared" si="4"/>
        <v>0</v>
      </c>
      <c r="G15" s="147">
        <f t="shared" si="4"/>
        <v>0</v>
      </c>
      <c r="H15" s="147">
        <f t="shared" si="4"/>
        <v>0</v>
      </c>
      <c r="I15" s="147">
        <f t="shared" si="4"/>
        <v>0</v>
      </c>
      <c r="J15" s="147">
        <f t="shared" si="4"/>
        <v>0</v>
      </c>
    </row>
    <row r="16" spans="1:17" hidden="1" x14ac:dyDescent="0.25">
      <c r="A16" s="226"/>
      <c r="B16" s="226" t="s">
        <v>177</v>
      </c>
      <c r="C16" s="1093"/>
      <c r="D16" s="147">
        <f>'таблица (всего)'!D103</f>
        <v>662200</v>
      </c>
      <c r="E16" s="147">
        <f>'таблица (всего)'!E103</f>
        <v>0</v>
      </c>
      <c r="F16" s="147">
        <f>'таблица (всего)'!F103</f>
        <v>0</v>
      </c>
      <c r="G16" s="147">
        <f>'таблица (всего)'!G103</f>
        <v>0</v>
      </c>
      <c r="H16" s="147">
        <f>'таблица (всего)'!H103</f>
        <v>0</v>
      </c>
      <c r="I16" s="147">
        <f>'таблица (всего)'!I103</f>
        <v>0</v>
      </c>
      <c r="J16" s="147">
        <f>'таблица (всего)'!J103</f>
        <v>0</v>
      </c>
    </row>
    <row r="17" spans="1:10" hidden="1" x14ac:dyDescent="0.25">
      <c r="A17" s="226"/>
      <c r="B17" s="226" t="s">
        <v>178</v>
      </c>
      <c r="C17" s="1093"/>
      <c r="D17" s="239" t="s">
        <v>227</v>
      </c>
      <c r="E17" s="239" t="s">
        <v>227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</row>
    <row r="18" spans="1:10" ht="138" customHeight="1" x14ac:dyDescent="0.25">
      <c r="A18" s="246" t="s">
        <v>235</v>
      </c>
      <c r="B18" s="229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C18" s="226" t="s">
        <v>180</v>
      </c>
      <c r="D18" s="147">
        <f>D19</f>
        <v>735300</v>
      </c>
      <c r="E18" s="147">
        <f t="shared" ref="E18:J19" si="5">E19</f>
        <v>805512.4</v>
      </c>
      <c r="F18" s="147">
        <f t="shared" si="5"/>
        <v>585942.4</v>
      </c>
      <c r="G18" s="147">
        <f t="shared" si="5"/>
        <v>0</v>
      </c>
      <c r="H18" s="147">
        <f t="shared" si="5"/>
        <v>0</v>
      </c>
      <c r="I18" s="147">
        <f t="shared" si="5"/>
        <v>0</v>
      </c>
      <c r="J18" s="147">
        <f t="shared" si="5"/>
        <v>0</v>
      </c>
    </row>
    <row r="19" spans="1:10" x14ac:dyDescent="0.25">
      <c r="A19" s="226"/>
      <c r="B19" s="226" t="s">
        <v>225</v>
      </c>
      <c r="C19" s="1095"/>
      <c r="D19" s="147">
        <f>D20</f>
        <v>735300</v>
      </c>
      <c r="E19" s="147">
        <f t="shared" si="5"/>
        <v>805512.4</v>
      </c>
      <c r="F19" s="147">
        <f t="shared" si="5"/>
        <v>585942.4</v>
      </c>
      <c r="G19" s="147">
        <f t="shared" si="5"/>
        <v>0</v>
      </c>
      <c r="H19" s="147">
        <f t="shared" si="5"/>
        <v>0</v>
      </c>
      <c r="I19" s="147">
        <f t="shared" si="5"/>
        <v>0</v>
      </c>
      <c r="J19" s="147">
        <f t="shared" si="5"/>
        <v>0</v>
      </c>
    </row>
    <row r="20" spans="1:10" x14ac:dyDescent="0.25">
      <c r="A20" s="226"/>
      <c r="B20" s="226" t="s">
        <v>177</v>
      </c>
      <c r="C20" s="1095"/>
      <c r="D20" s="147">
        <f>'таблица (всего)'!D104</f>
        <v>735300</v>
      </c>
      <c r="E20" s="147">
        <f>'таблица (всего)'!E104</f>
        <v>805512.4</v>
      </c>
      <c r="F20" s="147">
        <f>'таблица (всего)'!F104</f>
        <v>585942.4</v>
      </c>
      <c r="G20" s="147">
        <f>'таблица (всего)'!G104</f>
        <v>0</v>
      </c>
      <c r="H20" s="147">
        <f>'таблица (всего)'!H104</f>
        <v>0</v>
      </c>
      <c r="I20" s="147">
        <f>'таблица (всего)'!I104</f>
        <v>0</v>
      </c>
      <c r="J20" s="147">
        <f>'таблица (всего)'!J104</f>
        <v>0</v>
      </c>
    </row>
    <row r="21" spans="1:10" x14ac:dyDescent="0.25">
      <c r="A21" s="226"/>
      <c r="B21" s="226" t="s">
        <v>178</v>
      </c>
      <c r="C21" s="1095"/>
      <c r="D21" s="239" t="s">
        <v>227</v>
      </c>
      <c r="E21" s="239" t="s">
        <v>227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</row>
    <row r="22" spans="1:10" ht="110.25" customHeight="1" x14ac:dyDescent="0.25">
      <c r="A22" s="246" t="s">
        <v>246</v>
      </c>
      <c r="B22" s="229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C22" s="226" t="s">
        <v>180</v>
      </c>
      <c r="D22" s="147">
        <f>D23</f>
        <v>470000</v>
      </c>
      <c r="E22" s="147">
        <f t="shared" ref="E22:J23" si="6">E23</f>
        <v>400000</v>
      </c>
      <c r="F22" s="147">
        <f t="shared" si="6"/>
        <v>120000</v>
      </c>
      <c r="G22" s="147">
        <f t="shared" si="6"/>
        <v>120000</v>
      </c>
      <c r="H22" s="147">
        <f t="shared" si="6"/>
        <v>120000</v>
      </c>
      <c r="I22" s="147">
        <f t="shared" si="6"/>
        <v>120000</v>
      </c>
      <c r="J22" s="147">
        <f t="shared" si="6"/>
        <v>120000</v>
      </c>
    </row>
    <row r="23" spans="1:10" x14ac:dyDescent="0.25">
      <c r="A23" s="226"/>
      <c r="B23" s="226" t="s">
        <v>225</v>
      </c>
      <c r="C23" s="1095"/>
      <c r="D23" s="147">
        <f>D24</f>
        <v>470000</v>
      </c>
      <c r="E23" s="147">
        <f t="shared" si="6"/>
        <v>400000</v>
      </c>
      <c r="F23" s="147">
        <f t="shared" si="6"/>
        <v>120000</v>
      </c>
      <c r="G23" s="147">
        <f t="shared" si="6"/>
        <v>120000</v>
      </c>
      <c r="H23" s="147">
        <f t="shared" si="6"/>
        <v>120000</v>
      </c>
      <c r="I23" s="147">
        <f t="shared" si="6"/>
        <v>120000</v>
      </c>
      <c r="J23" s="147">
        <f t="shared" si="6"/>
        <v>120000</v>
      </c>
    </row>
    <row r="24" spans="1:10" x14ac:dyDescent="0.25">
      <c r="A24" s="226"/>
      <c r="B24" s="226" t="s">
        <v>177</v>
      </c>
      <c r="C24" s="1095"/>
      <c r="D24" s="147">
        <f>'таблица (всего)'!D106</f>
        <v>470000</v>
      </c>
      <c r="E24" s="147">
        <f>'таблица (всего)'!E106</f>
        <v>400000</v>
      </c>
      <c r="F24" s="147">
        <f>'таблица (всего)'!F106</f>
        <v>120000</v>
      </c>
      <c r="G24" s="147">
        <f>'таблица (всего)'!G106</f>
        <v>120000</v>
      </c>
      <c r="H24" s="147">
        <f>'таблица (всего)'!H106</f>
        <v>120000</v>
      </c>
      <c r="I24" s="147">
        <f>'таблица (всего)'!I106</f>
        <v>120000</v>
      </c>
      <c r="J24" s="147">
        <f>'таблица (всего)'!J106</f>
        <v>120000</v>
      </c>
    </row>
    <row r="25" spans="1:10" x14ac:dyDescent="0.25">
      <c r="A25" s="226"/>
      <c r="B25" s="226" t="s">
        <v>178</v>
      </c>
      <c r="C25" s="1095"/>
      <c r="D25" s="239" t="s">
        <v>227</v>
      </c>
      <c r="E25" s="239" t="s">
        <v>227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</row>
    <row r="26" spans="1:10" ht="127.5" hidden="1" x14ac:dyDescent="0.25">
      <c r="A26" s="240" t="s">
        <v>247</v>
      </c>
      <c r="B26" s="226" t="str">
        <f>'таблица (всего)'!C107</f>
        <v xml:space="preserve"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"искусственная почка" и обратно больным с хронической почечной недостаточностью, получающим данную процедуру в областных учреждениях здравоохранения
</v>
      </c>
      <c r="C26" s="226" t="s">
        <v>180</v>
      </c>
      <c r="D26" s="147">
        <f>D27</f>
        <v>967800</v>
      </c>
      <c r="E26" s="147">
        <f t="shared" ref="E26:J27" si="7">E27</f>
        <v>0</v>
      </c>
      <c r="F26" s="147">
        <f t="shared" si="7"/>
        <v>0</v>
      </c>
      <c r="G26" s="147">
        <f t="shared" si="7"/>
        <v>0</v>
      </c>
      <c r="H26" s="147">
        <f t="shared" si="7"/>
        <v>0</v>
      </c>
      <c r="I26" s="147">
        <f t="shared" si="7"/>
        <v>0</v>
      </c>
      <c r="J26" s="147">
        <f t="shared" si="7"/>
        <v>0</v>
      </c>
    </row>
    <row r="27" spans="1:10" hidden="1" x14ac:dyDescent="0.25">
      <c r="A27" s="226"/>
      <c r="B27" s="226" t="s">
        <v>225</v>
      </c>
      <c r="C27" s="1095"/>
      <c r="D27" s="147">
        <f>D28</f>
        <v>967800</v>
      </c>
      <c r="E27" s="147">
        <f t="shared" si="7"/>
        <v>0</v>
      </c>
      <c r="F27" s="147">
        <f t="shared" si="7"/>
        <v>0</v>
      </c>
      <c r="G27" s="147">
        <f t="shared" si="7"/>
        <v>0</v>
      </c>
      <c r="H27" s="147">
        <f t="shared" si="7"/>
        <v>0</v>
      </c>
      <c r="I27" s="147">
        <f t="shared" si="7"/>
        <v>0</v>
      </c>
      <c r="J27" s="147">
        <f t="shared" si="7"/>
        <v>0</v>
      </c>
    </row>
    <row r="28" spans="1:10" hidden="1" x14ac:dyDescent="0.25">
      <c r="A28" s="226"/>
      <c r="B28" s="226" t="s">
        <v>177</v>
      </c>
      <c r="C28" s="1095"/>
      <c r="D28" s="147">
        <f>'таблица (всего)'!D107</f>
        <v>967800</v>
      </c>
      <c r="E28" s="147">
        <f>'таблица (всего)'!E107</f>
        <v>0</v>
      </c>
      <c r="F28" s="147">
        <f>'таблица (всего)'!F107</f>
        <v>0</v>
      </c>
      <c r="G28" s="147">
        <f>'таблица (всего)'!G107</f>
        <v>0</v>
      </c>
      <c r="H28" s="147">
        <f>'таблица (всего)'!H107</f>
        <v>0</v>
      </c>
      <c r="I28" s="147">
        <f>'таблица (всего)'!I107</f>
        <v>0</v>
      </c>
      <c r="J28" s="147">
        <f>'таблица (всего)'!J107</f>
        <v>0</v>
      </c>
    </row>
    <row r="29" spans="1:10" hidden="1" x14ac:dyDescent="0.25">
      <c r="A29" s="226"/>
      <c r="B29" s="226" t="s">
        <v>178</v>
      </c>
      <c r="C29" s="1095"/>
      <c r="D29" s="239" t="s">
        <v>227</v>
      </c>
      <c r="E29" s="239" t="s">
        <v>227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</row>
    <row r="30" spans="1:10" ht="204" x14ac:dyDescent="0.25">
      <c r="A30" s="240" t="s">
        <v>248</v>
      </c>
      <c r="B30" s="229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C30" s="226" t="s">
        <v>180</v>
      </c>
      <c r="D30" s="147">
        <f>D31</f>
        <v>266200</v>
      </c>
      <c r="E30" s="147">
        <f t="shared" ref="E30:J31" si="8">E31</f>
        <v>1001900</v>
      </c>
      <c r="F30" s="147">
        <f t="shared" si="8"/>
        <v>1001900</v>
      </c>
      <c r="G30" s="147">
        <f t="shared" si="8"/>
        <v>1001899.94</v>
      </c>
      <c r="H30" s="147">
        <f t="shared" si="8"/>
        <v>1001899.94</v>
      </c>
      <c r="I30" s="147">
        <f t="shared" si="8"/>
        <v>1001899.94</v>
      </c>
      <c r="J30" s="147">
        <f t="shared" si="8"/>
        <v>1001899.94</v>
      </c>
    </row>
    <row r="31" spans="1:10" x14ac:dyDescent="0.25">
      <c r="A31" s="226"/>
      <c r="B31" s="226" t="s">
        <v>225</v>
      </c>
      <c r="C31" s="1095"/>
      <c r="D31" s="147">
        <f>D32</f>
        <v>266200</v>
      </c>
      <c r="E31" s="147">
        <f t="shared" si="8"/>
        <v>1001900</v>
      </c>
      <c r="F31" s="147">
        <f t="shared" si="8"/>
        <v>1001900</v>
      </c>
      <c r="G31" s="147">
        <f t="shared" si="8"/>
        <v>1001899.94</v>
      </c>
      <c r="H31" s="147">
        <f t="shared" si="8"/>
        <v>1001899.94</v>
      </c>
      <c r="I31" s="147">
        <f t="shared" si="8"/>
        <v>1001899.94</v>
      </c>
      <c r="J31" s="147">
        <f t="shared" si="8"/>
        <v>1001899.94</v>
      </c>
    </row>
    <row r="32" spans="1:10" x14ac:dyDescent="0.25">
      <c r="A32" s="226"/>
      <c r="B32" s="226" t="s">
        <v>177</v>
      </c>
      <c r="C32" s="1095"/>
      <c r="D32" s="147">
        <f>'таблица (всего)'!D108</f>
        <v>266200</v>
      </c>
      <c r="E32" s="147">
        <f>'таблица (всего)'!E108</f>
        <v>1001900</v>
      </c>
      <c r="F32" s="147">
        <f>'таблица (всего)'!F108</f>
        <v>1001900</v>
      </c>
      <c r="G32" s="147">
        <f>'таблица (всего)'!G108</f>
        <v>1001899.94</v>
      </c>
      <c r="H32" s="147">
        <f>'таблица (всего)'!H108</f>
        <v>1001899.94</v>
      </c>
      <c r="I32" s="147">
        <f>'таблица (всего)'!I108</f>
        <v>1001899.94</v>
      </c>
      <c r="J32" s="147">
        <f>'таблица (всего)'!J108</f>
        <v>1001899.94</v>
      </c>
    </row>
    <row r="33" spans="1:10" x14ac:dyDescent="0.25">
      <c r="A33" s="226"/>
      <c r="B33" s="226" t="s">
        <v>178</v>
      </c>
      <c r="C33" s="1095"/>
      <c r="D33" s="239" t="s">
        <v>227</v>
      </c>
      <c r="E33" s="239" t="s">
        <v>227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</row>
    <row r="34" spans="1:10" ht="51" x14ac:dyDescent="0.25">
      <c r="A34" s="226" t="s">
        <v>229</v>
      </c>
      <c r="B34" s="229" t="str">
        <f>'таблица (всего)'!C109</f>
        <v>«Меры социальной поддержки по обеспечению отдельных групп населения лекарственными препаратами и изделиями медицинского назначения»</v>
      </c>
      <c r="C34" s="226" t="s">
        <v>180</v>
      </c>
      <c r="D34" s="147">
        <f>D35</f>
        <v>72165700</v>
      </c>
      <c r="E34" s="147">
        <f t="shared" ref="E34:J35" si="9">E35</f>
        <v>72957876.469999999</v>
      </c>
      <c r="F34" s="147">
        <f t="shared" si="9"/>
        <v>76565450.650000006</v>
      </c>
      <c r="G34" s="147">
        <f t="shared" si="9"/>
        <v>147464956.61999997</v>
      </c>
      <c r="H34" s="147">
        <f t="shared" si="9"/>
        <v>147726592.61999997</v>
      </c>
      <c r="I34" s="147">
        <f t="shared" si="9"/>
        <v>147158110.57999998</v>
      </c>
      <c r="J34" s="147">
        <f t="shared" si="9"/>
        <v>147158110.57999998</v>
      </c>
    </row>
    <row r="35" spans="1:10" x14ac:dyDescent="0.25">
      <c r="A35" s="226"/>
      <c r="B35" s="226" t="s">
        <v>225</v>
      </c>
      <c r="C35" s="1095"/>
      <c r="D35" s="147">
        <f>D36</f>
        <v>72165700</v>
      </c>
      <c r="E35" s="147">
        <f t="shared" si="9"/>
        <v>72957876.469999999</v>
      </c>
      <c r="F35" s="147">
        <f t="shared" si="9"/>
        <v>76565450.650000006</v>
      </c>
      <c r="G35" s="147">
        <f t="shared" si="9"/>
        <v>147464956.61999997</v>
      </c>
      <c r="H35" s="147">
        <f t="shared" si="9"/>
        <v>147726592.61999997</v>
      </c>
      <c r="I35" s="147">
        <f t="shared" si="9"/>
        <v>147158110.57999998</v>
      </c>
      <c r="J35" s="147">
        <f t="shared" si="9"/>
        <v>147158110.57999998</v>
      </c>
    </row>
    <row r="36" spans="1:10" x14ac:dyDescent="0.25">
      <c r="A36" s="226"/>
      <c r="B36" s="226" t="s">
        <v>177</v>
      </c>
      <c r="C36" s="1095"/>
      <c r="D36" s="147">
        <f t="shared" ref="D36:J36" si="10">D40+D44+D48+D52</f>
        <v>72165700</v>
      </c>
      <c r="E36" s="147">
        <f t="shared" si="10"/>
        <v>72957876.469999999</v>
      </c>
      <c r="F36" s="147">
        <f t="shared" si="10"/>
        <v>76565450.650000006</v>
      </c>
      <c r="G36" s="147">
        <f t="shared" si="10"/>
        <v>147464956.61999997</v>
      </c>
      <c r="H36" s="147">
        <f t="shared" si="10"/>
        <v>147726592.61999997</v>
      </c>
      <c r="I36" s="147">
        <f t="shared" si="10"/>
        <v>147158110.57999998</v>
      </c>
      <c r="J36" s="147">
        <f t="shared" si="10"/>
        <v>147158110.57999998</v>
      </c>
    </row>
    <row r="37" spans="1:10" x14ac:dyDescent="0.25">
      <c r="A37" s="226"/>
      <c r="B37" s="226" t="s">
        <v>178</v>
      </c>
      <c r="C37" s="1095"/>
      <c r="D37" s="239" t="s">
        <v>227</v>
      </c>
      <c r="E37" s="239" t="s">
        <v>227</v>
      </c>
      <c r="F37" s="147">
        <v>0</v>
      </c>
      <c r="G37" s="147">
        <v>0</v>
      </c>
      <c r="H37" s="147">
        <v>0</v>
      </c>
      <c r="I37" s="147">
        <v>0</v>
      </c>
      <c r="J37" s="147">
        <v>0</v>
      </c>
    </row>
    <row r="38" spans="1:10" ht="76.5" x14ac:dyDescent="0.25">
      <c r="A38" s="240" t="s">
        <v>236</v>
      </c>
      <c r="B38" s="229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C38" s="226" t="s">
        <v>180</v>
      </c>
      <c r="D38" s="147">
        <f>D39</f>
        <v>59794600</v>
      </c>
      <c r="E38" s="147">
        <f t="shared" ref="E38:J39" si="11">E39</f>
        <v>63755300</v>
      </c>
      <c r="F38" s="147">
        <f t="shared" si="11"/>
        <v>64060542</v>
      </c>
      <c r="G38" s="147">
        <f t="shared" si="11"/>
        <v>133157813.2</v>
      </c>
      <c r="H38" s="147">
        <f t="shared" si="11"/>
        <v>133419449.2</v>
      </c>
      <c r="I38" s="147">
        <f t="shared" si="11"/>
        <v>132850967.16</v>
      </c>
      <c r="J38" s="147">
        <f t="shared" si="11"/>
        <v>132850967.16</v>
      </c>
    </row>
    <row r="39" spans="1:10" x14ac:dyDescent="0.25">
      <c r="A39" s="226"/>
      <c r="B39" s="226" t="s">
        <v>225</v>
      </c>
      <c r="C39" s="1095"/>
      <c r="D39" s="147">
        <f>D40</f>
        <v>59794600</v>
      </c>
      <c r="E39" s="147">
        <f t="shared" si="11"/>
        <v>63755300</v>
      </c>
      <c r="F39" s="147">
        <f t="shared" si="11"/>
        <v>64060542</v>
      </c>
      <c r="G39" s="147">
        <f t="shared" si="11"/>
        <v>133157813.2</v>
      </c>
      <c r="H39" s="147">
        <f t="shared" si="11"/>
        <v>133419449.2</v>
      </c>
      <c r="I39" s="147">
        <f t="shared" si="11"/>
        <v>132850967.16</v>
      </c>
      <c r="J39" s="147">
        <f t="shared" si="11"/>
        <v>132850967.16</v>
      </c>
    </row>
    <row r="40" spans="1:10" x14ac:dyDescent="0.25">
      <c r="A40" s="226"/>
      <c r="B40" s="226" t="s">
        <v>177</v>
      </c>
      <c r="C40" s="1095"/>
      <c r="D40" s="147">
        <f>'таблица (всего)'!D110</f>
        <v>59794600</v>
      </c>
      <c r="E40" s="147">
        <f>'таблица (всего)'!E110</f>
        <v>63755300</v>
      </c>
      <c r="F40" s="147">
        <f>'таблица (всего)'!F110</f>
        <v>64060542</v>
      </c>
      <c r="G40" s="147">
        <f>'таблица (всего)'!G110</f>
        <v>133157813.2</v>
      </c>
      <c r="H40" s="147">
        <f>'таблица (всего)'!H110</f>
        <v>133419449.2</v>
      </c>
      <c r="I40" s="147">
        <f>'таблица (всего)'!I110</f>
        <v>132850967.16</v>
      </c>
      <c r="J40" s="147">
        <f>'таблица (всего)'!J110</f>
        <v>132850967.16</v>
      </c>
    </row>
    <row r="41" spans="1:10" x14ac:dyDescent="0.25">
      <c r="A41" s="226"/>
      <c r="B41" s="226" t="s">
        <v>178</v>
      </c>
      <c r="C41" s="1095"/>
      <c r="D41" s="239" t="s">
        <v>227</v>
      </c>
      <c r="E41" s="239" t="s">
        <v>227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</row>
    <row r="42" spans="1:10" ht="216.75" x14ac:dyDescent="0.25">
      <c r="A42" s="240" t="s">
        <v>237</v>
      </c>
      <c r="B42" s="229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C42" s="226" t="s">
        <v>180</v>
      </c>
      <c r="D42" s="147">
        <f>D43</f>
        <v>793500</v>
      </c>
      <c r="E42" s="147">
        <f t="shared" ref="E42:J43" si="12">E43</f>
        <v>5000</v>
      </c>
      <c r="F42" s="147">
        <f t="shared" si="12"/>
        <v>5000</v>
      </c>
      <c r="G42" s="147">
        <f t="shared" si="12"/>
        <v>0</v>
      </c>
      <c r="H42" s="147">
        <f t="shared" si="12"/>
        <v>0</v>
      </c>
      <c r="I42" s="147">
        <f t="shared" si="12"/>
        <v>0</v>
      </c>
      <c r="J42" s="147">
        <f t="shared" si="12"/>
        <v>0</v>
      </c>
    </row>
    <row r="43" spans="1:10" x14ac:dyDescent="0.25">
      <c r="A43" s="226"/>
      <c r="B43" s="226" t="s">
        <v>225</v>
      </c>
      <c r="C43" s="1095"/>
      <c r="D43" s="147">
        <f>D44</f>
        <v>793500</v>
      </c>
      <c r="E43" s="147">
        <f t="shared" si="12"/>
        <v>5000</v>
      </c>
      <c r="F43" s="147">
        <f t="shared" si="12"/>
        <v>5000</v>
      </c>
      <c r="G43" s="147">
        <f t="shared" si="12"/>
        <v>0</v>
      </c>
      <c r="H43" s="147">
        <f t="shared" si="12"/>
        <v>0</v>
      </c>
      <c r="I43" s="147">
        <f t="shared" si="12"/>
        <v>0</v>
      </c>
      <c r="J43" s="147">
        <f t="shared" si="12"/>
        <v>0</v>
      </c>
    </row>
    <row r="44" spans="1:10" x14ac:dyDescent="0.25">
      <c r="A44" s="226"/>
      <c r="B44" s="226" t="s">
        <v>177</v>
      </c>
      <c r="C44" s="1095"/>
      <c r="D44" s="147">
        <f>'таблица (всего)'!D111</f>
        <v>793500</v>
      </c>
      <c r="E44" s="147">
        <f>'таблица (всего)'!E111</f>
        <v>5000</v>
      </c>
      <c r="F44" s="147">
        <f>'таблица (всего)'!F111</f>
        <v>5000</v>
      </c>
      <c r="G44" s="147">
        <f>'таблица (всего)'!G111</f>
        <v>0</v>
      </c>
      <c r="H44" s="147">
        <f>'таблица (всего)'!H111</f>
        <v>0</v>
      </c>
      <c r="I44" s="147">
        <f>'таблица (всего)'!I111</f>
        <v>0</v>
      </c>
      <c r="J44" s="147">
        <f>'таблица (всего)'!J111</f>
        <v>0</v>
      </c>
    </row>
    <row r="45" spans="1:10" x14ac:dyDescent="0.25">
      <c r="A45" s="226"/>
      <c r="B45" s="226" t="s">
        <v>178</v>
      </c>
      <c r="C45" s="1095"/>
      <c r="D45" s="239" t="s">
        <v>227</v>
      </c>
      <c r="E45" s="239" t="s">
        <v>227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</row>
    <row r="46" spans="1:10" ht="89.25" x14ac:dyDescent="0.25">
      <c r="A46" s="240" t="s">
        <v>260</v>
      </c>
      <c r="B46" s="229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C46" s="226" t="s">
        <v>180</v>
      </c>
      <c r="D46" s="147">
        <f>D47</f>
        <v>5142700</v>
      </c>
      <c r="E46" s="147">
        <f t="shared" ref="E46:J47" si="13">E47</f>
        <v>2442883.7000000002</v>
      </c>
      <c r="F46" s="147">
        <f t="shared" si="13"/>
        <v>2442883.7200000002</v>
      </c>
      <c r="G46" s="147">
        <f t="shared" si="13"/>
        <v>5000000</v>
      </c>
      <c r="H46" s="147">
        <f t="shared" si="13"/>
        <v>5000000</v>
      </c>
      <c r="I46" s="147">
        <f t="shared" si="13"/>
        <v>5000000</v>
      </c>
      <c r="J46" s="147">
        <f t="shared" si="13"/>
        <v>5000000</v>
      </c>
    </row>
    <row r="47" spans="1:10" x14ac:dyDescent="0.25">
      <c r="A47" s="226"/>
      <c r="B47" s="226" t="s">
        <v>225</v>
      </c>
      <c r="C47" s="1095"/>
      <c r="D47" s="147">
        <f>D48</f>
        <v>5142700</v>
      </c>
      <c r="E47" s="147">
        <f t="shared" si="13"/>
        <v>2442883.7000000002</v>
      </c>
      <c r="F47" s="147">
        <f t="shared" si="13"/>
        <v>2442883.7200000002</v>
      </c>
      <c r="G47" s="147">
        <f t="shared" si="13"/>
        <v>5000000</v>
      </c>
      <c r="H47" s="147">
        <f t="shared" si="13"/>
        <v>5000000</v>
      </c>
      <c r="I47" s="147">
        <f t="shared" si="13"/>
        <v>5000000</v>
      </c>
      <c r="J47" s="147">
        <f t="shared" si="13"/>
        <v>5000000</v>
      </c>
    </row>
    <row r="48" spans="1:10" x14ac:dyDescent="0.25">
      <c r="A48" s="226"/>
      <c r="B48" s="226" t="s">
        <v>177</v>
      </c>
      <c r="C48" s="1095"/>
      <c r="D48" s="147">
        <f>'таблица (всего)'!D112</f>
        <v>5142700</v>
      </c>
      <c r="E48" s="147">
        <f>'таблица (всего)'!E112</f>
        <v>2442883.7000000002</v>
      </c>
      <c r="F48" s="147">
        <f>'таблица (всего)'!F112</f>
        <v>2442883.7200000002</v>
      </c>
      <c r="G48" s="147">
        <f>'таблица (всего)'!G112</f>
        <v>5000000</v>
      </c>
      <c r="H48" s="147">
        <f>'таблица (всего)'!H112</f>
        <v>5000000</v>
      </c>
      <c r="I48" s="147">
        <f>'таблица (всего)'!I112</f>
        <v>5000000</v>
      </c>
      <c r="J48" s="147">
        <f>'таблица (всего)'!J112</f>
        <v>5000000</v>
      </c>
    </row>
    <row r="49" spans="1:10" x14ac:dyDescent="0.25">
      <c r="A49" s="226"/>
      <c r="B49" s="226" t="s">
        <v>178</v>
      </c>
      <c r="C49" s="1095"/>
      <c r="D49" s="239" t="s">
        <v>227</v>
      </c>
      <c r="E49" s="239" t="s">
        <v>227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</row>
    <row r="50" spans="1:10" ht="165.75" x14ac:dyDescent="0.25">
      <c r="A50" s="240" t="s">
        <v>261</v>
      </c>
      <c r="B50" s="229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C50" s="226" t="s">
        <v>180</v>
      </c>
      <c r="D50" s="147">
        <f>D51</f>
        <v>6434900</v>
      </c>
      <c r="E50" s="147">
        <f t="shared" ref="E50:J51" si="14">E51</f>
        <v>6754692.7699999996</v>
      </c>
      <c r="F50" s="147">
        <f t="shared" si="14"/>
        <v>10057024.93</v>
      </c>
      <c r="G50" s="147">
        <f t="shared" si="14"/>
        <v>9307143.4199999999</v>
      </c>
      <c r="H50" s="147">
        <f t="shared" si="14"/>
        <v>9307143.4199999999</v>
      </c>
      <c r="I50" s="147">
        <f t="shared" si="14"/>
        <v>9307143.4199999999</v>
      </c>
      <c r="J50" s="147">
        <f t="shared" si="14"/>
        <v>9307143.4199999999</v>
      </c>
    </row>
    <row r="51" spans="1:10" x14ac:dyDescent="0.25">
      <c r="A51" s="226"/>
      <c r="B51" s="226" t="s">
        <v>225</v>
      </c>
      <c r="C51" s="1095"/>
      <c r="D51" s="147">
        <f>D52</f>
        <v>6434900</v>
      </c>
      <c r="E51" s="147">
        <f t="shared" si="14"/>
        <v>6754692.7699999996</v>
      </c>
      <c r="F51" s="147">
        <f t="shared" si="14"/>
        <v>10057024.93</v>
      </c>
      <c r="G51" s="147">
        <f t="shared" si="14"/>
        <v>9307143.4199999999</v>
      </c>
      <c r="H51" s="147">
        <f t="shared" si="14"/>
        <v>9307143.4199999999</v>
      </c>
      <c r="I51" s="147">
        <f t="shared" si="14"/>
        <v>9307143.4199999999</v>
      </c>
      <c r="J51" s="147">
        <f t="shared" si="14"/>
        <v>9307143.4199999999</v>
      </c>
    </row>
    <row r="52" spans="1:10" x14ac:dyDescent="0.25">
      <c r="A52" s="226"/>
      <c r="B52" s="226" t="s">
        <v>177</v>
      </c>
      <c r="C52" s="1095"/>
      <c r="D52" s="147">
        <f>'таблица (всего)'!D113</f>
        <v>6434900</v>
      </c>
      <c r="E52" s="147">
        <f>'таблица (всего)'!E113</f>
        <v>6754692.7699999996</v>
      </c>
      <c r="F52" s="147">
        <f>'таблица (всего)'!F113</f>
        <v>10057024.93</v>
      </c>
      <c r="G52" s="147">
        <f>'таблица (всего)'!G113</f>
        <v>9307143.4199999999</v>
      </c>
      <c r="H52" s="147">
        <f>'таблица (всего)'!H113</f>
        <v>9307143.4199999999</v>
      </c>
      <c r="I52" s="147">
        <f>'таблица (всего)'!I113</f>
        <v>9307143.4199999999</v>
      </c>
      <c r="J52" s="147">
        <f>'таблица (всего)'!J113</f>
        <v>9307143.4199999999</v>
      </c>
    </row>
    <row r="53" spans="1:10" x14ac:dyDescent="0.25">
      <c r="A53" s="226"/>
      <c r="B53" s="226" t="s">
        <v>178</v>
      </c>
      <c r="C53" s="1095"/>
      <c r="D53" s="239" t="s">
        <v>227</v>
      </c>
      <c r="E53" s="239" t="s">
        <v>227</v>
      </c>
      <c r="F53" s="147">
        <v>0</v>
      </c>
      <c r="G53" s="147">
        <v>0</v>
      </c>
      <c r="H53" s="147">
        <v>0</v>
      </c>
      <c r="I53" s="147">
        <v>0</v>
      </c>
      <c r="J53" s="147">
        <v>0</v>
      </c>
    </row>
    <row r="54" spans="1:10" ht="76.5" x14ac:dyDescent="0.25">
      <c r="A54" s="226" t="s">
        <v>231</v>
      </c>
      <c r="B54" s="229" t="str">
        <f>'таблица (всего)'!C114</f>
        <v>«Меры социальной поддержки медицинских и иных работников учреждений здравоохранения Ивановской области, непосредственно участвующих в оказании противотуберкулезной помощи»</v>
      </c>
      <c r="C54" s="226" t="s">
        <v>180</v>
      </c>
      <c r="D54" s="147">
        <f>D55</f>
        <v>60000</v>
      </c>
      <c r="E54" s="147">
        <f t="shared" ref="E54:J55" si="15">E55</f>
        <v>60000</v>
      </c>
      <c r="F54" s="147">
        <f t="shared" si="15"/>
        <v>60000</v>
      </c>
      <c r="G54" s="147">
        <f t="shared" si="15"/>
        <v>60000</v>
      </c>
      <c r="H54" s="147">
        <f t="shared" si="15"/>
        <v>60000</v>
      </c>
      <c r="I54" s="147">
        <f t="shared" si="15"/>
        <v>60000</v>
      </c>
      <c r="J54" s="147">
        <f t="shared" si="15"/>
        <v>60000</v>
      </c>
    </row>
    <row r="55" spans="1:10" x14ac:dyDescent="0.25">
      <c r="A55" s="226"/>
      <c r="B55" s="226" t="s">
        <v>225</v>
      </c>
      <c r="C55" s="1095"/>
      <c r="D55" s="147">
        <f>D56</f>
        <v>60000</v>
      </c>
      <c r="E55" s="147">
        <f t="shared" si="15"/>
        <v>60000</v>
      </c>
      <c r="F55" s="147">
        <f t="shared" si="15"/>
        <v>60000</v>
      </c>
      <c r="G55" s="147">
        <f t="shared" si="15"/>
        <v>60000</v>
      </c>
      <c r="H55" s="147">
        <f t="shared" si="15"/>
        <v>60000</v>
      </c>
      <c r="I55" s="147">
        <f t="shared" si="15"/>
        <v>60000</v>
      </c>
      <c r="J55" s="147">
        <f t="shared" si="15"/>
        <v>60000</v>
      </c>
    </row>
    <row r="56" spans="1:10" x14ac:dyDescent="0.25">
      <c r="A56" s="226"/>
      <c r="B56" s="226" t="s">
        <v>177</v>
      </c>
      <c r="C56" s="1095"/>
      <c r="D56" s="147">
        <f>D60</f>
        <v>60000</v>
      </c>
      <c r="E56" s="147">
        <f t="shared" ref="E56:J56" si="16">E60</f>
        <v>60000</v>
      </c>
      <c r="F56" s="147">
        <f t="shared" si="16"/>
        <v>60000</v>
      </c>
      <c r="G56" s="147">
        <f t="shared" si="16"/>
        <v>60000</v>
      </c>
      <c r="H56" s="147">
        <f t="shared" si="16"/>
        <v>60000</v>
      </c>
      <c r="I56" s="147">
        <f t="shared" si="16"/>
        <v>60000</v>
      </c>
      <c r="J56" s="147">
        <f t="shared" si="16"/>
        <v>60000</v>
      </c>
    </row>
    <row r="57" spans="1:10" x14ac:dyDescent="0.25">
      <c r="A57" s="226"/>
      <c r="B57" s="226" t="s">
        <v>178</v>
      </c>
      <c r="C57" s="1095"/>
      <c r="D57" s="239" t="s">
        <v>227</v>
      </c>
      <c r="E57" s="239" t="s">
        <v>227</v>
      </c>
      <c r="F57" s="147">
        <v>0</v>
      </c>
      <c r="G57" s="147">
        <v>0</v>
      </c>
      <c r="H57" s="147">
        <v>0</v>
      </c>
      <c r="I57" s="147">
        <v>0</v>
      </c>
      <c r="J57" s="147">
        <v>0</v>
      </c>
    </row>
    <row r="58" spans="1:10" ht="76.5" x14ac:dyDescent="0.25">
      <c r="A58" s="240" t="s">
        <v>238</v>
      </c>
      <c r="B58" s="229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C58" s="226" t="s">
        <v>180</v>
      </c>
      <c r="D58" s="147">
        <f>D59</f>
        <v>60000</v>
      </c>
      <c r="E58" s="147">
        <f t="shared" ref="E58:J59" si="17">E59</f>
        <v>60000</v>
      </c>
      <c r="F58" s="147">
        <f t="shared" si="17"/>
        <v>60000</v>
      </c>
      <c r="G58" s="147">
        <f t="shared" si="17"/>
        <v>60000</v>
      </c>
      <c r="H58" s="147">
        <f t="shared" si="17"/>
        <v>60000</v>
      </c>
      <c r="I58" s="147">
        <f t="shared" si="17"/>
        <v>60000</v>
      </c>
      <c r="J58" s="147">
        <f t="shared" si="17"/>
        <v>60000</v>
      </c>
    </row>
    <row r="59" spans="1:10" x14ac:dyDescent="0.25">
      <c r="A59" s="226"/>
      <c r="B59" s="226" t="s">
        <v>225</v>
      </c>
      <c r="C59" s="1095"/>
      <c r="D59" s="147">
        <f>D60</f>
        <v>60000</v>
      </c>
      <c r="E59" s="147">
        <f t="shared" si="17"/>
        <v>60000</v>
      </c>
      <c r="F59" s="147">
        <f t="shared" si="17"/>
        <v>60000</v>
      </c>
      <c r="G59" s="147">
        <f t="shared" si="17"/>
        <v>60000</v>
      </c>
      <c r="H59" s="147">
        <f t="shared" si="17"/>
        <v>60000</v>
      </c>
      <c r="I59" s="147">
        <f t="shared" si="17"/>
        <v>60000</v>
      </c>
      <c r="J59" s="147">
        <f t="shared" si="17"/>
        <v>60000</v>
      </c>
    </row>
    <row r="60" spans="1:10" x14ac:dyDescent="0.25">
      <c r="A60" s="226"/>
      <c r="B60" s="226" t="s">
        <v>177</v>
      </c>
      <c r="C60" s="1095"/>
      <c r="D60" s="147">
        <f>'таблица (всего)'!D115</f>
        <v>60000</v>
      </c>
      <c r="E60" s="147">
        <f>'таблица (всего)'!E115</f>
        <v>60000</v>
      </c>
      <c r="F60" s="147">
        <f>'таблица (всего)'!F115</f>
        <v>60000</v>
      </c>
      <c r="G60" s="147">
        <f>'таблица (всего)'!G115</f>
        <v>60000</v>
      </c>
      <c r="H60" s="147">
        <f>'таблица (всего)'!H115</f>
        <v>60000</v>
      </c>
      <c r="I60" s="147">
        <f>'таблица (всего)'!I115</f>
        <v>60000</v>
      </c>
      <c r="J60" s="147">
        <f>'таблица (всего)'!J115</f>
        <v>60000</v>
      </c>
    </row>
    <row r="61" spans="1:10" x14ac:dyDescent="0.25">
      <c r="A61" s="226"/>
      <c r="B61" s="226" t="s">
        <v>178</v>
      </c>
      <c r="C61" s="1095"/>
      <c r="D61" s="239" t="s">
        <v>227</v>
      </c>
      <c r="E61" s="239" t="s">
        <v>227</v>
      </c>
      <c r="F61" s="147">
        <v>0</v>
      </c>
      <c r="G61" s="147">
        <v>0</v>
      </c>
      <c r="H61" s="147">
        <v>0</v>
      </c>
      <c r="I61" s="147">
        <v>0</v>
      </c>
      <c r="J61" s="147">
        <v>0</v>
      </c>
    </row>
  </sheetData>
  <mergeCells count="17">
    <mergeCell ref="C51:C53"/>
    <mergeCell ref="C55:C57"/>
    <mergeCell ref="C59:C61"/>
    <mergeCell ref="C27:C29"/>
    <mergeCell ref="C31:C33"/>
    <mergeCell ref="C35:C37"/>
    <mergeCell ref="C39:C41"/>
    <mergeCell ref="C43:C45"/>
    <mergeCell ref="C47:C49"/>
    <mergeCell ref="C19:C21"/>
    <mergeCell ref="C23:C25"/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H26" sqref="H26"/>
    </sheetView>
  </sheetViews>
  <sheetFormatPr defaultRowHeight="15" x14ac:dyDescent="0.25"/>
  <cols>
    <col min="1" max="1" width="5.140625" customWidth="1"/>
    <col min="2" max="2" width="36" customWidth="1"/>
    <col min="3" max="3" width="15.28515625" customWidth="1"/>
    <col min="4" max="5" width="18.5703125" hidden="1" customWidth="1"/>
    <col min="6" max="10" width="18.5703125" customWidth="1"/>
  </cols>
  <sheetData>
    <row r="1" spans="1:17" ht="75.75" customHeight="1" x14ac:dyDescent="0.25">
      <c r="A1" s="232"/>
      <c r="B1" s="219"/>
      <c r="C1" s="232"/>
      <c r="D1" s="235"/>
      <c r="E1" s="235"/>
      <c r="F1" s="235"/>
      <c r="G1" s="236"/>
      <c r="H1" s="236"/>
      <c r="I1" s="1086" t="s">
        <v>264</v>
      </c>
      <c r="J1" s="1086"/>
    </row>
    <row r="2" spans="1:17" ht="18.75" x14ac:dyDescent="0.25">
      <c r="A2" s="1087" t="s">
        <v>265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24.75" customHeight="1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customHeight="1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3" t="s">
        <v>173</v>
      </c>
      <c r="B5" s="223" t="s">
        <v>266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5" t="s">
        <v>224</v>
      </c>
      <c r="C6" s="225"/>
      <c r="D6" s="313">
        <f>D7</f>
        <v>2961964300</v>
      </c>
      <c r="E6" s="313">
        <f t="shared" ref="E6:J7" si="0">E7</f>
        <v>3997725000</v>
      </c>
      <c r="F6" s="313">
        <f t="shared" si="0"/>
        <v>3894508000</v>
      </c>
      <c r="G6" s="313">
        <f t="shared" si="0"/>
        <v>0</v>
      </c>
      <c r="H6" s="313">
        <f t="shared" si="0"/>
        <v>0</v>
      </c>
      <c r="I6" s="313">
        <f t="shared" si="0"/>
        <v>0</v>
      </c>
      <c r="J6" s="313">
        <f t="shared" si="0"/>
        <v>0</v>
      </c>
      <c r="K6" s="222">
        <f>D6-'таблица (всего)'!D116</f>
        <v>0</v>
      </c>
      <c r="L6" s="222">
        <f>E6-'таблица (всего)'!E116</f>
        <v>0</v>
      </c>
      <c r="M6" s="222">
        <f>F6-'таблица (всего)'!F116</f>
        <v>0</v>
      </c>
      <c r="N6" s="222">
        <f>G6-'таблица (всего)'!G116</f>
        <v>-3893885500</v>
      </c>
      <c r="O6" s="222">
        <f>H6-'таблица (всего)'!H116</f>
        <v>-3893885500</v>
      </c>
      <c r="P6" s="222">
        <f>I6-'таблица (всего)'!I116</f>
        <v>-3893885500</v>
      </c>
      <c r="Q6" s="222">
        <f>J6-'таблица (всего)'!J116</f>
        <v>-3893885500</v>
      </c>
    </row>
    <row r="7" spans="1:17" x14ac:dyDescent="0.25">
      <c r="A7" s="225"/>
      <c r="B7" s="225" t="s">
        <v>225</v>
      </c>
      <c r="C7" s="1085"/>
      <c r="D7" s="313">
        <f>D8</f>
        <v>2961964300</v>
      </c>
      <c r="E7" s="313">
        <f t="shared" si="0"/>
        <v>3997725000</v>
      </c>
      <c r="F7" s="313">
        <f t="shared" si="0"/>
        <v>3894508000</v>
      </c>
      <c r="G7" s="313">
        <f t="shared" si="0"/>
        <v>0</v>
      </c>
      <c r="H7" s="313">
        <f t="shared" si="0"/>
        <v>0</v>
      </c>
      <c r="I7" s="313">
        <f t="shared" si="0"/>
        <v>0</v>
      </c>
      <c r="J7" s="313">
        <f t="shared" si="0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5" t="s">
        <v>177</v>
      </c>
      <c r="C8" s="1085"/>
      <c r="D8" s="313">
        <f>D12</f>
        <v>2961964300</v>
      </c>
      <c r="E8" s="313">
        <f t="shared" ref="E8:J8" si="1">E12</f>
        <v>3997725000</v>
      </c>
      <c r="F8" s="313">
        <f t="shared" si="1"/>
        <v>3894508000</v>
      </c>
      <c r="G8" s="313">
        <f t="shared" si="1"/>
        <v>0</v>
      </c>
      <c r="H8" s="313">
        <f t="shared" si="1"/>
        <v>0</v>
      </c>
      <c r="I8" s="313">
        <f t="shared" si="1"/>
        <v>0</v>
      </c>
      <c r="J8" s="313">
        <f t="shared" si="1"/>
        <v>0</v>
      </c>
      <c r="K8" s="222">
        <f>D8-'таблица (всего)'!D118</f>
        <v>0</v>
      </c>
      <c r="L8" s="222">
        <f>E8-'таблица (всего)'!E118</f>
        <v>0</v>
      </c>
      <c r="M8" s="222">
        <f>F8-'таблица (всего)'!F118</f>
        <v>0</v>
      </c>
      <c r="N8" s="222">
        <f>G8-'таблица (всего)'!G118</f>
        <v>-3893885500</v>
      </c>
      <c r="O8" s="222">
        <f>H8-'таблица (всего)'!H118</f>
        <v>-3893885500</v>
      </c>
      <c r="P8" s="222">
        <f>I8-'таблица (всего)'!I118</f>
        <v>-3893885500</v>
      </c>
      <c r="Q8" s="222">
        <f>J8-'таблица (всего)'!J118</f>
        <v>-3893885500</v>
      </c>
    </row>
    <row r="9" spans="1:17" x14ac:dyDescent="0.25">
      <c r="A9" s="225"/>
      <c r="B9" s="225" t="s">
        <v>178</v>
      </c>
      <c r="C9" s="1085"/>
      <c r="D9" s="313">
        <v>0</v>
      </c>
      <c r="E9" s="313">
        <v>0</v>
      </c>
      <c r="F9" s="313">
        <v>0</v>
      </c>
      <c r="G9" s="313">
        <v>0</v>
      </c>
      <c r="H9" s="313">
        <v>0</v>
      </c>
      <c r="I9" s="313">
        <v>0</v>
      </c>
      <c r="J9" s="313">
        <v>0</v>
      </c>
    </row>
    <row r="10" spans="1:17" ht="63.75" x14ac:dyDescent="0.25">
      <c r="A10" s="225" t="s">
        <v>228</v>
      </c>
      <c r="B10" s="248" t="str">
        <f>'таблица (всего)'!C119</f>
        <v>«Уплата страховых взносов на обязательное медицинское страхование неработающего населения в Федеральный фонд обязательного медицинского страхования»</v>
      </c>
      <c r="C10" s="225" t="s">
        <v>180</v>
      </c>
      <c r="D10" s="313">
        <f>D11</f>
        <v>2961964300</v>
      </c>
      <c r="E10" s="313">
        <f t="shared" ref="E10:J11" si="2">E11</f>
        <v>3997725000</v>
      </c>
      <c r="F10" s="313">
        <f t="shared" si="2"/>
        <v>3894508000</v>
      </c>
      <c r="G10" s="313">
        <f t="shared" si="2"/>
        <v>0</v>
      </c>
      <c r="H10" s="313">
        <f t="shared" si="2"/>
        <v>0</v>
      </c>
      <c r="I10" s="313">
        <f t="shared" si="2"/>
        <v>0</v>
      </c>
      <c r="J10" s="313">
        <f t="shared" si="2"/>
        <v>0</v>
      </c>
    </row>
    <row r="11" spans="1:17" x14ac:dyDescent="0.25">
      <c r="A11" s="225"/>
      <c r="B11" s="225" t="s">
        <v>225</v>
      </c>
      <c r="C11" s="1085"/>
      <c r="D11" s="313">
        <f>D12</f>
        <v>2961964300</v>
      </c>
      <c r="E11" s="313">
        <f t="shared" si="2"/>
        <v>3997725000</v>
      </c>
      <c r="F11" s="313">
        <f t="shared" si="2"/>
        <v>3894508000</v>
      </c>
      <c r="G11" s="313">
        <f t="shared" si="2"/>
        <v>0</v>
      </c>
      <c r="H11" s="313">
        <f t="shared" si="2"/>
        <v>0</v>
      </c>
      <c r="I11" s="313">
        <f t="shared" si="2"/>
        <v>0</v>
      </c>
      <c r="J11" s="313">
        <f t="shared" si="2"/>
        <v>0</v>
      </c>
    </row>
    <row r="12" spans="1:17" x14ac:dyDescent="0.25">
      <c r="A12" s="225"/>
      <c r="B12" s="225" t="s">
        <v>177</v>
      </c>
      <c r="C12" s="1085"/>
      <c r="D12" s="313">
        <f>D16</f>
        <v>2961964300</v>
      </c>
      <c r="E12" s="313">
        <f t="shared" ref="E12:J12" si="3">E16</f>
        <v>3997725000</v>
      </c>
      <c r="F12" s="313">
        <f t="shared" si="3"/>
        <v>3894508000</v>
      </c>
      <c r="G12" s="313">
        <f t="shared" si="3"/>
        <v>0</v>
      </c>
      <c r="H12" s="313">
        <f t="shared" si="3"/>
        <v>0</v>
      </c>
      <c r="I12" s="313">
        <f t="shared" si="3"/>
        <v>0</v>
      </c>
      <c r="J12" s="313">
        <f t="shared" si="3"/>
        <v>0</v>
      </c>
    </row>
    <row r="13" spans="1:17" x14ac:dyDescent="0.25">
      <c r="A13" s="225"/>
      <c r="B13" s="225" t="s">
        <v>178</v>
      </c>
      <c r="C13" s="1085"/>
      <c r="D13" s="313">
        <v>0</v>
      </c>
      <c r="E13" s="313">
        <v>0</v>
      </c>
      <c r="F13" s="313">
        <v>0</v>
      </c>
      <c r="G13" s="313">
        <v>0</v>
      </c>
      <c r="H13" s="313">
        <v>0</v>
      </c>
      <c r="I13" s="313">
        <v>0</v>
      </c>
      <c r="J13" s="313">
        <v>0</v>
      </c>
    </row>
    <row r="14" spans="1:17" ht="63.75" x14ac:dyDescent="0.25">
      <c r="A14" s="230" t="s">
        <v>234</v>
      </c>
      <c r="B14" s="248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C14" s="225" t="s">
        <v>180</v>
      </c>
      <c r="D14" s="313">
        <f>D15</f>
        <v>2961964300</v>
      </c>
      <c r="E14" s="313">
        <f t="shared" ref="E14:J15" si="4">E15</f>
        <v>3997725000</v>
      </c>
      <c r="F14" s="313">
        <f t="shared" si="4"/>
        <v>3894508000</v>
      </c>
      <c r="G14" s="313">
        <f t="shared" si="4"/>
        <v>0</v>
      </c>
      <c r="H14" s="313">
        <f t="shared" si="4"/>
        <v>0</v>
      </c>
      <c r="I14" s="313">
        <f t="shared" si="4"/>
        <v>0</v>
      </c>
      <c r="J14" s="313">
        <f t="shared" si="4"/>
        <v>0</v>
      </c>
    </row>
    <row r="15" spans="1:17" x14ac:dyDescent="0.25">
      <c r="A15" s="225"/>
      <c r="B15" s="225" t="s">
        <v>225</v>
      </c>
      <c r="C15" s="1085"/>
      <c r="D15" s="313">
        <f>D16</f>
        <v>2961964300</v>
      </c>
      <c r="E15" s="313">
        <f t="shared" si="4"/>
        <v>3997725000</v>
      </c>
      <c r="F15" s="313">
        <f t="shared" si="4"/>
        <v>3894508000</v>
      </c>
      <c r="G15" s="313">
        <f t="shared" si="4"/>
        <v>0</v>
      </c>
      <c r="H15" s="313">
        <f t="shared" si="4"/>
        <v>0</v>
      </c>
      <c r="I15" s="313">
        <f t="shared" si="4"/>
        <v>0</v>
      </c>
      <c r="J15" s="313">
        <f t="shared" si="4"/>
        <v>0</v>
      </c>
    </row>
    <row r="16" spans="1:17" x14ac:dyDescent="0.25">
      <c r="A16" s="225"/>
      <c r="B16" s="225" t="s">
        <v>177</v>
      </c>
      <c r="C16" s="1085"/>
      <c r="D16" s="313">
        <f>'таблица (всего)'!D120</f>
        <v>2961964300</v>
      </c>
      <c r="E16" s="313">
        <f>'таблица (всего)'!E120</f>
        <v>3997725000</v>
      </c>
      <c r="F16" s="313">
        <f>'таблица (всего)'!F120</f>
        <v>3894508000</v>
      </c>
      <c r="G16" s="313">
        <f>'таблица (всего)'!G120</f>
        <v>0</v>
      </c>
      <c r="H16" s="313">
        <f>'таблица (всего)'!H120</f>
        <v>0</v>
      </c>
      <c r="I16" s="313">
        <f>'таблица (всего)'!I120</f>
        <v>0</v>
      </c>
      <c r="J16" s="313">
        <f>'таблица (всего)'!J120</f>
        <v>0</v>
      </c>
    </row>
    <row r="17" spans="1:10" x14ac:dyDescent="0.25">
      <c r="A17" s="225"/>
      <c r="B17" s="225" t="s">
        <v>178</v>
      </c>
      <c r="C17" s="1085"/>
      <c r="D17" s="313">
        <v>0</v>
      </c>
      <c r="E17" s="313">
        <v>0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zoomScale="90" zoomScaleNormal="90" workbookViewId="0">
      <selection activeCell="M14" sqref="M14"/>
    </sheetView>
  </sheetViews>
  <sheetFormatPr defaultRowHeight="15" x14ac:dyDescent="0.25"/>
  <cols>
    <col min="1" max="1" width="4.28515625" style="236" customWidth="1"/>
    <col min="2" max="2" width="36" style="236" customWidth="1"/>
    <col min="3" max="3" width="15.28515625" style="236" customWidth="1"/>
    <col min="4" max="5" width="17.42578125" style="236" hidden="1" customWidth="1"/>
    <col min="6" max="10" width="17.42578125" style="236" customWidth="1"/>
  </cols>
  <sheetData>
    <row r="1" spans="1:17" ht="91.5" customHeight="1" x14ac:dyDescent="0.25">
      <c r="A1" s="232"/>
      <c r="B1" s="219"/>
      <c r="C1" s="232"/>
      <c r="D1" s="235"/>
      <c r="E1" s="235"/>
      <c r="F1" s="235"/>
      <c r="I1" s="1086" t="s">
        <v>267</v>
      </c>
      <c r="J1" s="1086"/>
    </row>
    <row r="2" spans="1:17" ht="18.75" x14ac:dyDescent="0.25">
      <c r="A2" s="1087" t="s">
        <v>268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7" x14ac:dyDescent="0.25">
      <c r="A6" s="226"/>
      <c r="B6" s="226" t="s">
        <v>224</v>
      </c>
      <c r="C6" s="226"/>
      <c r="D6" s="291">
        <f>D7</f>
        <v>2084100</v>
      </c>
      <c r="E6" s="291">
        <f t="shared" ref="E6:J6" si="0">E7</f>
        <v>1875700</v>
      </c>
      <c r="F6" s="291">
        <f t="shared" si="0"/>
        <v>1875700</v>
      </c>
      <c r="G6" s="291">
        <f t="shared" si="0"/>
        <v>1980700</v>
      </c>
      <c r="H6" s="291">
        <f t="shared" si="0"/>
        <v>1980700</v>
      </c>
      <c r="I6" s="291">
        <f t="shared" si="0"/>
        <v>1980700</v>
      </c>
      <c r="J6" s="291">
        <f t="shared" si="0"/>
        <v>0</v>
      </c>
      <c r="K6" s="222">
        <f>D6-'таблица (всего)'!D122</f>
        <v>0</v>
      </c>
      <c r="L6" s="222">
        <f>E6-'таблица (всего)'!E122</f>
        <v>0</v>
      </c>
      <c r="M6" s="222">
        <f>F6-'таблица (всего)'!F122</f>
        <v>0</v>
      </c>
      <c r="N6" s="222">
        <f>G6-'таблица (всего)'!G122</f>
        <v>0</v>
      </c>
      <c r="O6" s="222">
        <f>H6-'таблица (всего)'!H122</f>
        <v>0</v>
      </c>
      <c r="P6" s="222">
        <f>I6-'таблица (всего)'!I122</f>
        <v>0</v>
      </c>
      <c r="Q6" s="222">
        <f>J6-'таблица (всего)'!J122</f>
        <v>0</v>
      </c>
    </row>
    <row r="7" spans="1:17" x14ac:dyDescent="0.25">
      <c r="A7" s="226"/>
      <c r="B7" s="226" t="s">
        <v>225</v>
      </c>
      <c r="C7" s="1095"/>
      <c r="D7" s="291">
        <f>D9</f>
        <v>2084100</v>
      </c>
      <c r="E7" s="291">
        <f t="shared" ref="E7:J7" si="1">E9</f>
        <v>1875700</v>
      </c>
      <c r="F7" s="291">
        <f t="shared" si="1"/>
        <v>1875700</v>
      </c>
      <c r="G7" s="291">
        <f t="shared" si="1"/>
        <v>1980700</v>
      </c>
      <c r="H7" s="291">
        <f t="shared" si="1"/>
        <v>1980700</v>
      </c>
      <c r="I7" s="291">
        <f t="shared" si="1"/>
        <v>1980700</v>
      </c>
      <c r="J7" s="291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26" t="s">
        <v>177</v>
      </c>
      <c r="C8" s="1095"/>
      <c r="D8" s="291">
        <v>0</v>
      </c>
      <c r="E8" s="291">
        <v>0</v>
      </c>
      <c r="F8" s="291">
        <v>0</v>
      </c>
      <c r="G8" s="291">
        <v>0</v>
      </c>
      <c r="H8" s="291">
        <v>0</v>
      </c>
      <c r="I8" s="291">
        <v>0</v>
      </c>
      <c r="J8" s="291">
        <v>0</v>
      </c>
      <c r="K8" s="234"/>
      <c r="L8" s="234"/>
      <c r="M8" s="234"/>
      <c r="N8" s="234"/>
      <c r="O8" s="234"/>
      <c r="P8" s="234"/>
      <c r="Q8" s="234"/>
    </row>
    <row r="9" spans="1:17" x14ac:dyDescent="0.25">
      <c r="A9" s="226"/>
      <c r="B9" s="226" t="s">
        <v>178</v>
      </c>
      <c r="C9" s="1095"/>
      <c r="D9" s="291">
        <f>D13</f>
        <v>2084100</v>
      </c>
      <c r="E9" s="291">
        <f t="shared" ref="E9:J9" si="2">E13</f>
        <v>1875700</v>
      </c>
      <c r="F9" s="291">
        <f t="shared" si="2"/>
        <v>1875700</v>
      </c>
      <c r="G9" s="291">
        <f t="shared" si="2"/>
        <v>1980700</v>
      </c>
      <c r="H9" s="291">
        <f t="shared" si="2"/>
        <v>1980700</v>
      </c>
      <c r="I9" s="291">
        <f t="shared" si="2"/>
        <v>1980700</v>
      </c>
      <c r="J9" s="291">
        <f t="shared" si="2"/>
        <v>0</v>
      </c>
      <c r="K9" s="222">
        <f>D9-'таблица (всего)'!D126</f>
        <v>0</v>
      </c>
      <c r="L9" s="222">
        <f>E9-'таблица (всего)'!E126</f>
        <v>0</v>
      </c>
      <c r="M9" s="222">
        <f>F9-'таблица (всего)'!F126</f>
        <v>0</v>
      </c>
      <c r="N9" s="222">
        <f>G9-'таблица (всего)'!G126</f>
        <v>0</v>
      </c>
      <c r="O9" s="222">
        <f>H9-'таблица (всего)'!H126</f>
        <v>0</v>
      </c>
      <c r="P9" s="222">
        <f>I9-'таблица (всего)'!I126</f>
        <v>0</v>
      </c>
      <c r="Q9" s="222">
        <f>J9-'таблица (всего)'!J126</f>
        <v>0</v>
      </c>
    </row>
    <row r="10" spans="1:17" ht="63.75" x14ac:dyDescent="0.25">
      <c r="A10" s="226">
        <v>1</v>
      </c>
      <c r="B10" s="229" t="str">
        <f>'таблица (всего)'!C125</f>
        <v>«Осуществление полномочий Российской Федерации, переданных органам государственной власти субъектов Российской Федерации,  в сфере охраны здоровья»</v>
      </c>
      <c r="C10" s="226" t="s">
        <v>180</v>
      </c>
      <c r="D10" s="291">
        <f>D11</f>
        <v>2084100</v>
      </c>
      <c r="E10" s="291">
        <f t="shared" ref="E10:J10" si="3">E11</f>
        <v>1875700</v>
      </c>
      <c r="F10" s="291">
        <f t="shared" si="3"/>
        <v>1875700</v>
      </c>
      <c r="G10" s="291">
        <f t="shared" si="3"/>
        <v>1980700</v>
      </c>
      <c r="H10" s="291">
        <f t="shared" si="3"/>
        <v>1980700</v>
      </c>
      <c r="I10" s="291">
        <f t="shared" si="3"/>
        <v>1980700</v>
      </c>
      <c r="J10" s="291">
        <f t="shared" si="3"/>
        <v>0</v>
      </c>
    </row>
    <row r="11" spans="1:17" x14ac:dyDescent="0.25">
      <c r="A11" s="226"/>
      <c r="B11" s="226" t="s">
        <v>225</v>
      </c>
      <c r="C11" s="1095"/>
      <c r="D11" s="291">
        <f>D13</f>
        <v>2084100</v>
      </c>
      <c r="E11" s="291">
        <f t="shared" ref="E11:J11" si="4">E13</f>
        <v>1875700</v>
      </c>
      <c r="F11" s="291">
        <f t="shared" si="4"/>
        <v>1875700</v>
      </c>
      <c r="G11" s="291">
        <f t="shared" si="4"/>
        <v>1980700</v>
      </c>
      <c r="H11" s="291">
        <f t="shared" si="4"/>
        <v>1980700</v>
      </c>
      <c r="I11" s="291">
        <f t="shared" si="4"/>
        <v>1980700</v>
      </c>
      <c r="J11" s="291">
        <f t="shared" si="4"/>
        <v>0</v>
      </c>
    </row>
    <row r="12" spans="1:17" x14ac:dyDescent="0.25">
      <c r="A12" s="226"/>
      <c r="B12" s="226" t="s">
        <v>177</v>
      </c>
      <c r="C12" s="1095"/>
      <c r="D12" s="291">
        <v>0</v>
      </c>
      <c r="E12" s="291">
        <v>0</v>
      </c>
      <c r="F12" s="291">
        <v>0</v>
      </c>
      <c r="G12" s="291">
        <v>0</v>
      </c>
      <c r="H12" s="291">
        <v>0</v>
      </c>
      <c r="I12" s="291">
        <v>0</v>
      </c>
      <c r="J12" s="291">
        <v>0</v>
      </c>
    </row>
    <row r="13" spans="1:17" x14ac:dyDescent="0.25">
      <c r="A13" s="226"/>
      <c r="B13" s="226" t="s">
        <v>178</v>
      </c>
      <c r="C13" s="1095"/>
      <c r="D13" s="291">
        <f>D17</f>
        <v>2084100</v>
      </c>
      <c r="E13" s="291">
        <f t="shared" ref="E13:J13" si="5">E17</f>
        <v>1875700</v>
      </c>
      <c r="F13" s="291">
        <f t="shared" si="5"/>
        <v>1875700</v>
      </c>
      <c r="G13" s="291">
        <f t="shared" si="5"/>
        <v>1980700</v>
      </c>
      <c r="H13" s="291">
        <f t="shared" si="5"/>
        <v>1980700</v>
      </c>
      <c r="I13" s="291">
        <f t="shared" si="5"/>
        <v>1980700</v>
      </c>
      <c r="J13" s="291">
        <f t="shared" si="5"/>
        <v>0</v>
      </c>
    </row>
    <row r="14" spans="1:17" ht="102" x14ac:dyDescent="0.25">
      <c r="A14" s="240" t="s">
        <v>234</v>
      </c>
      <c r="B14" s="229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C14" s="226" t="s">
        <v>180</v>
      </c>
      <c r="D14" s="291">
        <f>D15</f>
        <v>2084100</v>
      </c>
      <c r="E14" s="291">
        <f t="shared" ref="E14:J14" si="6">E15</f>
        <v>1875700</v>
      </c>
      <c r="F14" s="291">
        <f t="shared" si="6"/>
        <v>1875700</v>
      </c>
      <c r="G14" s="291">
        <f t="shared" si="6"/>
        <v>1980700</v>
      </c>
      <c r="H14" s="291">
        <f t="shared" si="6"/>
        <v>1980700</v>
      </c>
      <c r="I14" s="291">
        <f t="shared" si="6"/>
        <v>1980700</v>
      </c>
      <c r="J14" s="291">
        <f t="shared" si="6"/>
        <v>0</v>
      </c>
    </row>
    <row r="15" spans="1:17" x14ac:dyDescent="0.25">
      <c r="A15" s="226"/>
      <c r="B15" s="226" t="s">
        <v>225</v>
      </c>
      <c r="C15" s="1095"/>
      <c r="D15" s="291">
        <f>D17</f>
        <v>2084100</v>
      </c>
      <c r="E15" s="291">
        <f t="shared" ref="E15:J15" si="7">E17</f>
        <v>1875700</v>
      </c>
      <c r="F15" s="291">
        <f t="shared" si="7"/>
        <v>1875700</v>
      </c>
      <c r="G15" s="291">
        <f t="shared" si="7"/>
        <v>1980700</v>
      </c>
      <c r="H15" s="291">
        <f t="shared" si="7"/>
        <v>1980700</v>
      </c>
      <c r="I15" s="291">
        <f t="shared" si="7"/>
        <v>1980700</v>
      </c>
      <c r="J15" s="291">
        <f t="shared" si="7"/>
        <v>0</v>
      </c>
    </row>
    <row r="16" spans="1:17" x14ac:dyDescent="0.25">
      <c r="A16" s="226"/>
      <c r="B16" s="226" t="s">
        <v>177</v>
      </c>
      <c r="C16" s="1095"/>
      <c r="D16" s="291">
        <v>0</v>
      </c>
      <c r="E16" s="291">
        <v>0</v>
      </c>
      <c r="F16" s="291">
        <v>0</v>
      </c>
      <c r="G16" s="291">
        <v>0</v>
      </c>
      <c r="H16" s="291">
        <v>0</v>
      </c>
      <c r="I16" s="291">
        <v>0</v>
      </c>
      <c r="J16" s="291">
        <v>0</v>
      </c>
    </row>
    <row r="17" spans="1:10" x14ac:dyDescent="0.25">
      <c r="A17" s="226"/>
      <c r="B17" s="226" t="s">
        <v>178</v>
      </c>
      <c r="C17" s="1095"/>
      <c r="D17" s="291">
        <f>'таблица (всего)'!D126</f>
        <v>2084100</v>
      </c>
      <c r="E17" s="291">
        <f>'таблица (всего)'!E126</f>
        <v>1875700</v>
      </c>
      <c r="F17" s="291">
        <f>'таблица (всего)'!F126</f>
        <v>1875700</v>
      </c>
      <c r="G17" s="291">
        <f>'таблица (всего)'!G126</f>
        <v>1980700</v>
      </c>
      <c r="H17" s="291">
        <f>'таблица (всего)'!H126</f>
        <v>1980700</v>
      </c>
      <c r="I17" s="291">
        <f>'таблица (всего)'!I126</f>
        <v>1980700</v>
      </c>
      <c r="J17" s="291">
        <f>'таблица (всего)'!J126</f>
        <v>0</v>
      </c>
    </row>
  </sheetData>
  <mergeCells count="6">
    <mergeCell ref="C15:C17"/>
    <mergeCell ref="I1:J1"/>
    <mergeCell ref="A2:J2"/>
    <mergeCell ref="A3:J3"/>
    <mergeCell ref="C7:C9"/>
    <mergeCell ref="C11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7"/>
  <sheetViews>
    <sheetView zoomScale="90" zoomScaleNormal="90" workbookViewId="0">
      <selection activeCell="I48" sqref="I48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236" customWidth="1"/>
  </cols>
  <sheetData>
    <row r="1" spans="1:17" ht="84.75" customHeight="1" x14ac:dyDescent="0.25">
      <c r="A1" s="232"/>
      <c r="B1" s="219"/>
      <c r="C1" s="232"/>
      <c r="D1" s="235"/>
      <c r="E1" s="235"/>
      <c r="F1" s="235"/>
      <c r="I1" s="1086" t="s">
        <v>270</v>
      </c>
      <c r="J1" s="1086"/>
    </row>
    <row r="2" spans="1:17" ht="18.75" x14ac:dyDescent="0.25">
      <c r="A2" s="1087" t="s">
        <v>269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6" t="s">
        <v>173</v>
      </c>
      <c r="B5" s="246" t="s">
        <v>174</v>
      </c>
      <c r="C5" s="246" t="s">
        <v>175</v>
      </c>
      <c r="D5" s="249">
        <v>2014</v>
      </c>
      <c r="E5" s="249">
        <v>2015</v>
      </c>
      <c r="F5" s="249">
        <v>2016</v>
      </c>
      <c r="G5" s="249">
        <v>2017</v>
      </c>
      <c r="H5" s="249">
        <v>2018</v>
      </c>
      <c r="I5" s="249">
        <v>2019</v>
      </c>
      <c r="J5" s="249">
        <v>2020</v>
      </c>
    </row>
    <row r="6" spans="1:17" x14ac:dyDescent="0.25">
      <c r="A6" s="1096"/>
      <c r="B6" s="246" t="s">
        <v>224</v>
      </c>
      <c r="C6" s="246"/>
      <c r="D6" s="314">
        <f>D7</f>
        <v>8894300</v>
      </c>
      <c r="E6" s="314">
        <f t="shared" ref="E6:J6" si="0">E7</f>
        <v>11069675</v>
      </c>
      <c r="F6" s="314">
        <f t="shared" si="0"/>
        <v>9005190</v>
      </c>
      <c r="G6" s="314">
        <f t="shared" si="0"/>
        <v>8104671</v>
      </c>
      <c r="H6" s="314">
        <f t="shared" si="0"/>
        <v>8104671</v>
      </c>
      <c r="I6" s="314">
        <f t="shared" si="0"/>
        <v>8104671</v>
      </c>
      <c r="J6" s="314">
        <f t="shared" si="0"/>
        <v>8104671</v>
      </c>
      <c r="K6" s="222">
        <f>D6-'таблица (всего)'!D127</f>
        <v>0</v>
      </c>
      <c r="L6" s="222">
        <f>E6-'таблица (всего)'!E127</f>
        <v>0</v>
      </c>
      <c r="M6" s="222">
        <f>F6-'таблица (всего)'!F127</f>
        <v>0</v>
      </c>
      <c r="N6" s="222">
        <f>G6-'таблица (всего)'!G127</f>
        <v>0</v>
      </c>
      <c r="O6" s="222">
        <f>H6-'таблица (всего)'!H127</f>
        <v>0</v>
      </c>
      <c r="P6" s="222">
        <f>I6-'таблица (всего)'!I127</f>
        <v>0</v>
      </c>
      <c r="Q6" s="222">
        <f>J6-'таблица (всего)'!J127</f>
        <v>0</v>
      </c>
    </row>
    <row r="7" spans="1:17" x14ac:dyDescent="0.25">
      <c r="A7" s="1096"/>
      <c r="B7" s="246" t="s">
        <v>225</v>
      </c>
      <c r="C7" s="1096"/>
      <c r="D7" s="314">
        <f>D8+D9</f>
        <v>8894300</v>
      </c>
      <c r="E7" s="314">
        <f t="shared" ref="E7:J7" si="1">E8+E9</f>
        <v>11069675</v>
      </c>
      <c r="F7" s="314">
        <f t="shared" si="1"/>
        <v>9005190</v>
      </c>
      <c r="G7" s="314">
        <f t="shared" si="1"/>
        <v>8104671</v>
      </c>
      <c r="H7" s="314">
        <f t="shared" si="1"/>
        <v>8104671</v>
      </c>
      <c r="I7" s="314">
        <f t="shared" si="1"/>
        <v>8104671</v>
      </c>
      <c r="J7" s="314">
        <f t="shared" si="1"/>
        <v>8104671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1096"/>
      <c r="B8" s="246" t="s">
        <v>177</v>
      </c>
      <c r="C8" s="1096"/>
      <c r="D8" s="314">
        <f>D12</f>
        <v>444800</v>
      </c>
      <c r="E8" s="314">
        <f t="shared" ref="E8:J8" si="2">E12</f>
        <v>11069675</v>
      </c>
      <c r="F8" s="314">
        <f t="shared" si="2"/>
        <v>9005190</v>
      </c>
      <c r="G8" s="314">
        <f t="shared" si="2"/>
        <v>8104671</v>
      </c>
      <c r="H8" s="314">
        <f t="shared" si="2"/>
        <v>8104671</v>
      </c>
      <c r="I8" s="314">
        <f t="shared" si="2"/>
        <v>8104671</v>
      </c>
      <c r="J8" s="314">
        <f t="shared" si="2"/>
        <v>8104671</v>
      </c>
      <c r="K8" s="222">
        <f>D8-'таблица (всего)'!D129</f>
        <v>0</v>
      </c>
      <c r="L8" s="222">
        <f>E8-'таблица (всего)'!E129</f>
        <v>0</v>
      </c>
      <c r="M8" s="222">
        <f>F8-'таблица (всего)'!F129</f>
        <v>0</v>
      </c>
      <c r="N8" s="222">
        <f>G8-'таблица (всего)'!G129</f>
        <v>0</v>
      </c>
      <c r="O8" s="222">
        <f>H8-'таблица (всего)'!H129</f>
        <v>0</v>
      </c>
      <c r="P8" s="222">
        <f>I8-'таблица (всего)'!I129</f>
        <v>0</v>
      </c>
      <c r="Q8" s="222">
        <f>J8-'таблица (всего)'!J129</f>
        <v>0</v>
      </c>
    </row>
    <row r="9" spans="1:17" x14ac:dyDescent="0.25">
      <c r="A9" s="1096"/>
      <c r="B9" s="246" t="s">
        <v>178</v>
      </c>
      <c r="C9" s="1096"/>
      <c r="D9" s="314">
        <f>D13</f>
        <v>8449500</v>
      </c>
      <c r="E9" s="314">
        <f t="shared" ref="E9:J9" si="3">E13</f>
        <v>0</v>
      </c>
      <c r="F9" s="314">
        <f t="shared" si="3"/>
        <v>0</v>
      </c>
      <c r="G9" s="314">
        <f t="shared" si="3"/>
        <v>0</v>
      </c>
      <c r="H9" s="314">
        <f t="shared" si="3"/>
        <v>0</v>
      </c>
      <c r="I9" s="314">
        <f t="shared" si="3"/>
        <v>0</v>
      </c>
      <c r="J9" s="314">
        <f t="shared" si="3"/>
        <v>0</v>
      </c>
      <c r="K9" s="222">
        <f>D9-'таблица (всего)'!D128</f>
        <v>0</v>
      </c>
      <c r="L9" s="222">
        <f>E9-'таблица (всего)'!E128</f>
        <v>0</v>
      </c>
      <c r="M9" s="222">
        <f>F9-'таблица (всего)'!F128</f>
        <v>0</v>
      </c>
      <c r="N9" s="222">
        <f>G9-'таблица (всего)'!G128</f>
        <v>0</v>
      </c>
      <c r="O9" s="222">
        <f>H9-'таблица (всего)'!H128</f>
        <v>0</v>
      </c>
      <c r="P9" s="222">
        <f>I9-'таблица (всего)'!I128</f>
        <v>0</v>
      </c>
      <c r="Q9" s="222">
        <f>J9-'таблица (всего)'!J128</f>
        <v>0</v>
      </c>
    </row>
    <row r="10" spans="1:17" ht="51" x14ac:dyDescent="0.25">
      <c r="A10" s="246" t="s">
        <v>228</v>
      </c>
      <c r="B10" s="247" t="str">
        <f>'таблица (всего)'!C130</f>
        <v>«Создание системы раннего выявления и коррекции нарушений развития ребенка»</v>
      </c>
      <c r="C10" s="246" t="s">
        <v>255</v>
      </c>
      <c r="D10" s="314">
        <f>D11</f>
        <v>8894300</v>
      </c>
      <c r="E10" s="314">
        <f t="shared" ref="E10:J10" si="4">E11</f>
        <v>11069675</v>
      </c>
      <c r="F10" s="314">
        <f t="shared" si="4"/>
        <v>9005190</v>
      </c>
      <c r="G10" s="314">
        <f t="shared" si="4"/>
        <v>8104671</v>
      </c>
      <c r="H10" s="314">
        <f t="shared" si="4"/>
        <v>8104671</v>
      </c>
      <c r="I10" s="314">
        <f t="shared" si="4"/>
        <v>8104671</v>
      </c>
      <c r="J10" s="314">
        <f t="shared" si="4"/>
        <v>8104671</v>
      </c>
    </row>
    <row r="11" spans="1:17" x14ac:dyDescent="0.25">
      <c r="A11" s="246"/>
      <c r="B11" s="246" t="s">
        <v>225</v>
      </c>
      <c r="C11" s="246"/>
      <c r="D11" s="314">
        <f>D12+D13</f>
        <v>8894300</v>
      </c>
      <c r="E11" s="314">
        <f t="shared" ref="E11:J11" si="5">E12+E13</f>
        <v>11069675</v>
      </c>
      <c r="F11" s="314">
        <f t="shared" si="5"/>
        <v>9005190</v>
      </c>
      <c r="G11" s="314">
        <f t="shared" si="5"/>
        <v>8104671</v>
      </c>
      <c r="H11" s="314">
        <f t="shared" si="5"/>
        <v>8104671</v>
      </c>
      <c r="I11" s="314">
        <f t="shared" si="5"/>
        <v>8104671</v>
      </c>
      <c r="J11" s="314">
        <f t="shared" si="5"/>
        <v>8104671</v>
      </c>
    </row>
    <row r="12" spans="1:17" x14ac:dyDescent="0.25">
      <c r="A12" s="246"/>
      <c r="B12" s="246" t="s">
        <v>177</v>
      </c>
      <c r="C12" s="226"/>
      <c r="D12" s="314">
        <f t="shared" ref="D12:J12" si="6">D20+D28+D32+D36</f>
        <v>444800</v>
      </c>
      <c r="E12" s="314">
        <f t="shared" si="6"/>
        <v>11069675</v>
      </c>
      <c r="F12" s="314">
        <f t="shared" si="6"/>
        <v>9005190</v>
      </c>
      <c r="G12" s="314">
        <f t="shared" si="6"/>
        <v>8104671</v>
      </c>
      <c r="H12" s="314">
        <f t="shared" si="6"/>
        <v>8104671</v>
      </c>
      <c r="I12" s="314">
        <f t="shared" si="6"/>
        <v>8104671</v>
      </c>
      <c r="J12" s="314">
        <f t="shared" si="6"/>
        <v>8104671</v>
      </c>
    </row>
    <row r="13" spans="1:17" x14ac:dyDescent="0.25">
      <c r="A13" s="246"/>
      <c r="B13" s="246" t="s">
        <v>178</v>
      </c>
      <c r="C13" s="226"/>
      <c r="D13" s="314">
        <f t="shared" ref="D13:J13" si="7">D17+D25</f>
        <v>8449500</v>
      </c>
      <c r="E13" s="314">
        <f t="shared" si="7"/>
        <v>0</v>
      </c>
      <c r="F13" s="314">
        <f t="shared" si="7"/>
        <v>0</v>
      </c>
      <c r="G13" s="314">
        <f t="shared" si="7"/>
        <v>0</v>
      </c>
      <c r="H13" s="314">
        <f t="shared" si="7"/>
        <v>0</v>
      </c>
      <c r="I13" s="314">
        <f t="shared" si="7"/>
        <v>0</v>
      </c>
      <c r="J13" s="314">
        <f t="shared" si="7"/>
        <v>0</v>
      </c>
    </row>
    <row r="14" spans="1:17" ht="76.5" hidden="1" x14ac:dyDescent="0.25">
      <c r="A14" s="245" t="s">
        <v>234</v>
      </c>
      <c r="B14" s="246" t="str">
        <f>'таблица (всего)'!C131</f>
        <v xml:space="preserve">Закупка оборудования и расходных материалов для неонатального и аудиологического скрининга в учреждениях государственной и муниципальной систем здравоохранения
</v>
      </c>
      <c r="C14" s="246" t="s">
        <v>180</v>
      </c>
      <c r="D14" s="314">
        <f>D15</f>
        <v>3773700</v>
      </c>
      <c r="E14" s="314">
        <f t="shared" ref="E14:J14" si="8">E15</f>
        <v>0</v>
      </c>
      <c r="F14" s="314">
        <f t="shared" si="8"/>
        <v>0</v>
      </c>
      <c r="G14" s="314">
        <f t="shared" si="8"/>
        <v>0</v>
      </c>
      <c r="H14" s="314">
        <f t="shared" si="8"/>
        <v>0</v>
      </c>
      <c r="I14" s="314">
        <f t="shared" si="8"/>
        <v>0</v>
      </c>
      <c r="J14" s="314">
        <f t="shared" si="8"/>
        <v>0</v>
      </c>
    </row>
    <row r="15" spans="1:17" hidden="1" x14ac:dyDescent="0.25">
      <c r="A15" s="246"/>
      <c r="B15" s="246" t="s">
        <v>225</v>
      </c>
      <c r="C15" s="1096"/>
      <c r="D15" s="314">
        <f>D17</f>
        <v>3773700</v>
      </c>
      <c r="E15" s="314">
        <f t="shared" ref="E15:J15" si="9">E17</f>
        <v>0</v>
      </c>
      <c r="F15" s="314">
        <f t="shared" si="9"/>
        <v>0</v>
      </c>
      <c r="G15" s="314">
        <f t="shared" si="9"/>
        <v>0</v>
      </c>
      <c r="H15" s="314">
        <f t="shared" si="9"/>
        <v>0</v>
      </c>
      <c r="I15" s="314">
        <f t="shared" si="9"/>
        <v>0</v>
      </c>
      <c r="J15" s="314">
        <f t="shared" si="9"/>
        <v>0</v>
      </c>
    </row>
    <row r="16" spans="1:17" hidden="1" x14ac:dyDescent="0.25">
      <c r="A16" s="246"/>
      <c r="B16" s="246" t="s">
        <v>177</v>
      </c>
      <c r="C16" s="1096"/>
      <c r="D16" s="314">
        <v>0</v>
      </c>
      <c r="E16" s="314">
        <v>0</v>
      </c>
      <c r="F16" s="314">
        <v>0</v>
      </c>
      <c r="G16" s="314">
        <v>0</v>
      </c>
      <c r="H16" s="314">
        <v>0</v>
      </c>
      <c r="I16" s="314">
        <v>0</v>
      </c>
      <c r="J16" s="314">
        <v>0</v>
      </c>
    </row>
    <row r="17" spans="1:10" hidden="1" x14ac:dyDescent="0.25">
      <c r="A17" s="246"/>
      <c r="B17" s="246" t="s">
        <v>178</v>
      </c>
      <c r="C17" s="1096"/>
      <c r="D17" s="314">
        <f>'таблица (всего)'!D131</f>
        <v>3773700</v>
      </c>
      <c r="E17" s="314">
        <f>'таблица (всего)'!E131</f>
        <v>0</v>
      </c>
      <c r="F17" s="314">
        <f>'таблица (всего)'!F131</f>
        <v>0</v>
      </c>
      <c r="G17" s="314">
        <f>'таблица (всего)'!G131</f>
        <v>0</v>
      </c>
      <c r="H17" s="314">
        <f>'таблица (всего)'!H131</f>
        <v>0</v>
      </c>
      <c r="I17" s="314">
        <f>'таблица (всего)'!I131</f>
        <v>0</v>
      </c>
      <c r="J17" s="314">
        <f>'таблица (всего)'!J131</f>
        <v>0</v>
      </c>
    </row>
    <row r="18" spans="1:10" ht="76.5" hidden="1" x14ac:dyDescent="0.25">
      <c r="A18" s="245" t="s">
        <v>235</v>
      </c>
      <c r="B18" s="246" t="str">
        <f>'таблица (всего)'!C132</f>
        <v xml:space="preserve">Закупка оборудования и расходных материалов для неонатального и аудиологического скрининга в учреждениях государственной системы здравоохранения Ивановской области
</v>
      </c>
      <c r="C18" s="246" t="s">
        <v>180</v>
      </c>
      <c r="D18" s="314">
        <f>D19</f>
        <v>198700</v>
      </c>
      <c r="E18" s="314">
        <f t="shared" ref="E18:J19" si="10">E19</f>
        <v>0</v>
      </c>
      <c r="F18" s="314">
        <f t="shared" si="10"/>
        <v>0</v>
      </c>
      <c r="G18" s="314">
        <f t="shared" si="10"/>
        <v>0</v>
      </c>
      <c r="H18" s="314">
        <f t="shared" si="10"/>
        <v>0</v>
      </c>
      <c r="I18" s="314">
        <f t="shared" si="10"/>
        <v>0</v>
      </c>
      <c r="J18" s="314">
        <f t="shared" si="10"/>
        <v>0</v>
      </c>
    </row>
    <row r="19" spans="1:10" hidden="1" x14ac:dyDescent="0.25">
      <c r="A19" s="246"/>
      <c r="B19" s="246" t="s">
        <v>225</v>
      </c>
      <c r="C19" s="1096"/>
      <c r="D19" s="314">
        <f>D20</f>
        <v>198700</v>
      </c>
      <c r="E19" s="314">
        <f t="shared" si="10"/>
        <v>0</v>
      </c>
      <c r="F19" s="314">
        <f t="shared" si="10"/>
        <v>0</v>
      </c>
      <c r="G19" s="314">
        <f t="shared" si="10"/>
        <v>0</v>
      </c>
      <c r="H19" s="314">
        <f t="shared" si="10"/>
        <v>0</v>
      </c>
      <c r="I19" s="314">
        <f t="shared" si="10"/>
        <v>0</v>
      </c>
      <c r="J19" s="314">
        <f t="shared" si="10"/>
        <v>0</v>
      </c>
    </row>
    <row r="20" spans="1:10" hidden="1" x14ac:dyDescent="0.25">
      <c r="A20" s="246"/>
      <c r="B20" s="246" t="s">
        <v>177</v>
      </c>
      <c r="C20" s="1096"/>
      <c r="D20" s="314">
        <f>'таблица (всего)'!D132</f>
        <v>198700</v>
      </c>
      <c r="E20" s="314">
        <f>'таблица (всего)'!E132</f>
        <v>0</v>
      </c>
      <c r="F20" s="314">
        <f>'таблица (всего)'!F132</f>
        <v>0</v>
      </c>
      <c r="G20" s="314">
        <f>'таблица (всего)'!G132</f>
        <v>0</v>
      </c>
      <c r="H20" s="314">
        <f>'таблица (всего)'!H132</f>
        <v>0</v>
      </c>
      <c r="I20" s="314">
        <f>'таблица (всего)'!I132</f>
        <v>0</v>
      </c>
      <c r="J20" s="314">
        <f>'таблица (всего)'!J132</f>
        <v>0</v>
      </c>
    </row>
    <row r="21" spans="1:10" hidden="1" x14ac:dyDescent="0.25">
      <c r="A21" s="246"/>
      <c r="B21" s="246" t="s">
        <v>178</v>
      </c>
      <c r="C21" s="1096"/>
      <c r="D21" s="314">
        <v>0</v>
      </c>
      <c r="E21" s="314">
        <v>0</v>
      </c>
      <c r="F21" s="314">
        <v>0</v>
      </c>
      <c r="G21" s="314">
        <v>0</v>
      </c>
      <c r="H21" s="314">
        <v>0</v>
      </c>
      <c r="I21" s="314">
        <v>0</v>
      </c>
      <c r="J21" s="314">
        <v>0</v>
      </c>
    </row>
    <row r="22" spans="1:10" ht="63.75" hidden="1" x14ac:dyDescent="0.25">
      <c r="A22" s="245" t="s">
        <v>246</v>
      </c>
      <c r="B22" s="246" t="str">
        <f>'таблица (всего)'!C133</f>
        <v xml:space="preserve">Финансовое обеспечение мероприятий, направленных на проведение пренатальной (дородовой) диагностики нарушений развития ребенка
</v>
      </c>
      <c r="C22" s="246" t="s">
        <v>180</v>
      </c>
      <c r="D22" s="314">
        <f>D23</f>
        <v>4675800</v>
      </c>
      <c r="E22" s="314">
        <f t="shared" ref="E22:J22" si="11">E23</f>
        <v>0</v>
      </c>
      <c r="F22" s="314">
        <f t="shared" si="11"/>
        <v>0</v>
      </c>
      <c r="G22" s="314">
        <f t="shared" si="11"/>
        <v>0</v>
      </c>
      <c r="H22" s="314">
        <f t="shared" si="11"/>
        <v>0</v>
      </c>
      <c r="I22" s="314">
        <f t="shared" si="11"/>
        <v>0</v>
      </c>
      <c r="J22" s="314">
        <f t="shared" si="11"/>
        <v>0</v>
      </c>
    </row>
    <row r="23" spans="1:10" hidden="1" x14ac:dyDescent="0.25">
      <c r="A23" s="246"/>
      <c r="B23" s="246" t="s">
        <v>225</v>
      </c>
      <c r="C23" s="1096"/>
      <c r="D23" s="314">
        <f>D25</f>
        <v>4675800</v>
      </c>
      <c r="E23" s="314">
        <f t="shared" ref="E23:J23" si="12">E25</f>
        <v>0</v>
      </c>
      <c r="F23" s="314">
        <f t="shared" si="12"/>
        <v>0</v>
      </c>
      <c r="G23" s="314">
        <f t="shared" si="12"/>
        <v>0</v>
      </c>
      <c r="H23" s="314">
        <f t="shared" si="12"/>
        <v>0</v>
      </c>
      <c r="I23" s="314">
        <f t="shared" si="12"/>
        <v>0</v>
      </c>
      <c r="J23" s="314">
        <f t="shared" si="12"/>
        <v>0</v>
      </c>
    </row>
    <row r="24" spans="1:10" hidden="1" x14ac:dyDescent="0.25">
      <c r="A24" s="246"/>
      <c r="B24" s="246" t="s">
        <v>177</v>
      </c>
      <c r="C24" s="1096"/>
      <c r="D24" s="314">
        <v>0</v>
      </c>
      <c r="E24" s="314">
        <v>0</v>
      </c>
      <c r="F24" s="314">
        <v>0</v>
      </c>
      <c r="G24" s="314">
        <v>0</v>
      </c>
      <c r="H24" s="314">
        <v>0</v>
      </c>
      <c r="I24" s="314">
        <v>0</v>
      </c>
      <c r="J24" s="314">
        <v>0</v>
      </c>
    </row>
    <row r="25" spans="1:10" hidden="1" x14ac:dyDescent="0.25">
      <c r="A25" s="246"/>
      <c r="B25" s="246" t="s">
        <v>178</v>
      </c>
      <c r="C25" s="1096"/>
      <c r="D25" s="314">
        <f>'таблица (всего)'!D133</f>
        <v>4675800</v>
      </c>
      <c r="E25" s="314">
        <f>'таблица (всего)'!E133</f>
        <v>0</v>
      </c>
      <c r="F25" s="314">
        <f>'таблица (всего)'!F133</f>
        <v>0</v>
      </c>
      <c r="G25" s="314">
        <f>'таблица (всего)'!G133</f>
        <v>0</v>
      </c>
      <c r="H25" s="314">
        <f>'таблица (всего)'!H133</f>
        <v>0</v>
      </c>
      <c r="I25" s="314">
        <f>'таблица (всего)'!I133</f>
        <v>0</v>
      </c>
      <c r="J25" s="314">
        <f>'таблица (всего)'!J133</f>
        <v>0</v>
      </c>
    </row>
    <row r="26" spans="1:10" ht="76.5" hidden="1" x14ac:dyDescent="0.25">
      <c r="A26" s="245" t="s">
        <v>247</v>
      </c>
      <c r="B26" s="246" t="str">
        <f>'таблица (всего)'!C134</f>
        <v xml:space="preserve">Мероприятия, направленные на проведение пренатальной (дородовой) диагностики нарушений развития ребенка, в части закупки оборудования и расходных материалов для ее проведения
</v>
      </c>
      <c r="C26" s="246" t="s">
        <v>180</v>
      </c>
      <c r="D26" s="314">
        <f>D27</f>
        <v>246100</v>
      </c>
      <c r="E26" s="314">
        <f t="shared" ref="E26:J27" si="13">E27</f>
        <v>0</v>
      </c>
      <c r="F26" s="314">
        <f t="shared" si="13"/>
        <v>0</v>
      </c>
      <c r="G26" s="314">
        <f t="shared" si="13"/>
        <v>0</v>
      </c>
      <c r="H26" s="314">
        <f t="shared" si="13"/>
        <v>0</v>
      </c>
      <c r="I26" s="314">
        <f t="shared" si="13"/>
        <v>0</v>
      </c>
      <c r="J26" s="314">
        <f t="shared" si="13"/>
        <v>0</v>
      </c>
    </row>
    <row r="27" spans="1:10" hidden="1" x14ac:dyDescent="0.25">
      <c r="A27" s="246"/>
      <c r="B27" s="246" t="s">
        <v>225</v>
      </c>
      <c r="C27" s="1096"/>
      <c r="D27" s="314">
        <f>D28</f>
        <v>246100</v>
      </c>
      <c r="E27" s="314">
        <f t="shared" si="13"/>
        <v>0</v>
      </c>
      <c r="F27" s="314">
        <f t="shared" si="13"/>
        <v>0</v>
      </c>
      <c r="G27" s="314">
        <f t="shared" si="13"/>
        <v>0</v>
      </c>
      <c r="H27" s="314">
        <f t="shared" si="13"/>
        <v>0</v>
      </c>
      <c r="I27" s="314">
        <f t="shared" si="13"/>
        <v>0</v>
      </c>
      <c r="J27" s="314">
        <f t="shared" si="13"/>
        <v>0</v>
      </c>
    </row>
    <row r="28" spans="1:10" hidden="1" x14ac:dyDescent="0.25">
      <c r="A28" s="246"/>
      <c r="B28" s="246" t="s">
        <v>177</v>
      </c>
      <c r="C28" s="1096"/>
      <c r="D28" s="314">
        <f>'таблица (всего)'!D134</f>
        <v>246100</v>
      </c>
      <c r="E28" s="314">
        <f>'таблица (всего)'!E134</f>
        <v>0</v>
      </c>
      <c r="F28" s="314">
        <f>'таблица (всего)'!F134</f>
        <v>0</v>
      </c>
      <c r="G28" s="314">
        <f>'таблица (всего)'!G134</f>
        <v>0</v>
      </c>
      <c r="H28" s="314">
        <f>'таблица (всего)'!H134</f>
        <v>0</v>
      </c>
      <c r="I28" s="314">
        <f>'таблица (всего)'!I134</f>
        <v>0</v>
      </c>
      <c r="J28" s="314">
        <f>'таблица (всего)'!J134</f>
        <v>0</v>
      </c>
    </row>
    <row r="29" spans="1:10" hidden="1" x14ac:dyDescent="0.25">
      <c r="A29" s="246"/>
      <c r="B29" s="246" t="s">
        <v>178</v>
      </c>
      <c r="C29" s="1096"/>
      <c r="D29" s="314">
        <v>0</v>
      </c>
      <c r="E29" s="314">
        <v>0</v>
      </c>
      <c r="F29" s="314">
        <v>0</v>
      </c>
      <c r="G29" s="314">
        <v>0</v>
      </c>
      <c r="H29" s="314">
        <v>0</v>
      </c>
      <c r="I29" s="314">
        <v>0</v>
      </c>
      <c r="J29" s="314">
        <v>0</v>
      </c>
    </row>
    <row r="30" spans="1:10" ht="178.5" x14ac:dyDescent="0.25">
      <c r="A30" s="245" t="s">
        <v>248</v>
      </c>
      <c r="B30" s="247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C30" s="246" t="s">
        <v>180</v>
      </c>
      <c r="D30" s="314">
        <f>D31</f>
        <v>0</v>
      </c>
      <c r="E30" s="314">
        <f t="shared" ref="E30:J31" si="14">E31</f>
        <v>3564485</v>
      </c>
      <c r="F30" s="314">
        <f t="shared" si="14"/>
        <v>3000000</v>
      </c>
      <c r="G30" s="314">
        <f t="shared" si="14"/>
        <v>2700000</v>
      </c>
      <c r="H30" s="314">
        <f t="shared" si="14"/>
        <v>2700000</v>
      </c>
      <c r="I30" s="314">
        <f t="shared" si="14"/>
        <v>2700000</v>
      </c>
      <c r="J30" s="314">
        <f t="shared" si="14"/>
        <v>2700000</v>
      </c>
    </row>
    <row r="31" spans="1:10" x14ac:dyDescent="0.25">
      <c r="A31" s="246"/>
      <c r="B31" s="246" t="s">
        <v>225</v>
      </c>
      <c r="C31" s="1096"/>
      <c r="D31" s="314">
        <f>D32</f>
        <v>0</v>
      </c>
      <c r="E31" s="314">
        <f t="shared" si="14"/>
        <v>3564485</v>
      </c>
      <c r="F31" s="314">
        <f t="shared" si="14"/>
        <v>3000000</v>
      </c>
      <c r="G31" s="314">
        <f t="shared" si="14"/>
        <v>2700000</v>
      </c>
      <c r="H31" s="314">
        <f t="shared" si="14"/>
        <v>2700000</v>
      </c>
      <c r="I31" s="314">
        <f t="shared" si="14"/>
        <v>2700000</v>
      </c>
      <c r="J31" s="314">
        <f t="shared" si="14"/>
        <v>2700000</v>
      </c>
    </row>
    <row r="32" spans="1:10" x14ac:dyDescent="0.25">
      <c r="A32" s="246"/>
      <c r="B32" s="246" t="s">
        <v>177</v>
      </c>
      <c r="C32" s="1096"/>
      <c r="D32" s="314">
        <f>'таблица (всего)'!D136</f>
        <v>0</v>
      </c>
      <c r="E32" s="314">
        <f>'таблица (всего)'!E136</f>
        <v>3564485</v>
      </c>
      <c r="F32" s="314">
        <f>'таблица (всего)'!F136</f>
        <v>3000000</v>
      </c>
      <c r="G32" s="314">
        <f>'таблица (всего)'!G136</f>
        <v>2700000</v>
      </c>
      <c r="H32" s="314">
        <f>'таблица (всего)'!H136</f>
        <v>2700000</v>
      </c>
      <c r="I32" s="314">
        <f>'таблица (всего)'!I136</f>
        <v>2700000</v>
      </c>
      <c r="J32" s="314">
        <f>'таблица (всего)'!J136</f>
        <v>2700000</v>
      </c>
    </row>
    <row r="33" spans="1:10" x14ac:dyDescent="0.25">
      <c r="A33" s="246"/>
      <c r="B33" s="246" t="s">
        <v>178</v>
      </c>
      <c r="C33" s="1096"/>
      <c r="D33" s="314">
        <v>0</v>
      </c>
      <c r="E33" s="314">
        <v>0</v>
      </c>
      <c r="F33" s="314">
        <v>0</v>
      </c>
      <c r="G33" s="314">
        <v>0</v>
      </c>
      <c r="H33" s="314">
        <v>0</v>
      </c>
      <c r="I33" s="314">
        <v>0</v>
      </c>
      <c r="J33" s="314">
        <v>0</v>
      </c>
    </row>
    <row r="34" spans="1:10" ht="102" x14ac:dyDescent="0.25">
      <c r="A34" s="245" t="s">
        <v>249</v>
      </c>
      <c r="B34" s="247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C34" s="246" t="s">
        <v>180</v>
      </c>
      <c r="D34" s="314">
        <f>D35</f>
        <v>0</v>
      </c>
      <c r="E34" s="314">
        <f t="shared" ref="E34:J35" si="15">E35</f>
        <v>7505190</v>
      </c>
      <c r="F34" s="314">
        <f t="shared" si="15"/>
        <v>6005190</v>
      </c>
      <c r="G34" s="314">
        <f t="shared" si="15"/>
        <v>5404671</v>
      </c>
      <c r="H34" s="314">
        <f t="shared" si="15"/>
        <v>5404671</v>
      </c>
      <c r="I34" s="314">
        <f t="shared" si="15"/>
        <v>5404671</v>
      </c>
      <c r="J34" s="314">
        <f t="shared" si="15"/>
        <v>5404671</v>
      </c>
    </row>
    <row r="35" spans="1:10" x14ac:dyDescent="0.25">
      <c r="A35" s="246"/>
      <c r="B35" s="246" t="s">
        <v>225</v>
      </c>
      <c r="C35" s="1096"/>
      <c r="D35" s="314">
        <f>D36</f>
        <v>0</v>
      </c>
      <c r="E35" s="314">
        <f t="shared" si="15"/>
        <v>7505190</v>
      </c>
      <c r="F35" s="314">
        <f t="shared" si="15"/>
        <v>6005190</v>
      </c>
      <c r="G35" s="314">
        <f t="shared" si="15"/>
        <v>5404671</v>
      </c>
      <c r="H35" s="314">
        <f t="shared" si="15"/>
        <v>5404671</v>
      </c>
      <c r="I35" s="314">
        <f t="shared" si="15"/>
        <v>5404671</v>
      </c>
      <c r="J35" s="314">
        <f t="shared" si="15"/>
        <v>5404671</v>
      </c>
    </row>
    <row r="36" spans="1:10" x14ac:dyDescent="0.25">
      <c r="A36" s="246"/>
      <c r="B36" s="246" t="s">
        <v>177</v>
      </c>
      <c r="C36" s="1096"/>
      <c r="D36" s="314">
        <f>'таблица (всего)'!D135</f>
        <v>0</v>
      </c>
      <c r="E36" s="314">
        <f>'таблица (всего)'!E135</f>
        <v>7505190</v>
      </c>
      <c r="F36" s="314">
        <f>'таблица (всего)'!F135</f>
        <v>6005190</v>
      </c>
      <c r="G36" s="314">
        <f>'таблица (всего)'!G135</f>
        <v>5404671</v>
      </c>
      <c r="H36" s="314">
        <f>'таблица (всего)'!H135</f>
        <v>5404671</v>
      </c>
      <c r="I36" s="314">
        <f>'таблица (всего)'!I135</f>
        <v>5404671</v>
      </c>
      <c r="J36" s="314">
        <f>'таблица (всего)'!J135</f>
        <v>5404671</v>
      </c>
    </row>
    <row r="37" spans="1:10" x14ac:dyDescent="0.25">
      <c r="A37" s="246"/>
      <c r="B37" s="246" t="s">
        <v>178</v>
      </c>
      <c r="C37" s="1096"/>
      <c r="D37" s="314">
        <v>0</v>
      </c>
      <c r="E37" s="314">
        <v>0</v>
      </c>
      <c r="F37" s="314">
        <v>0</v>
      </c>
      <c r="G37" s="314">
        <v>0</v>
      </c>
      <c r="H37" s="314">
        <v>0</v>
      </c>
      <c r="I37" s="314">
        <v>0</v>
      </c>
      <c r="J37" s="314">
        <v>0</v>
      </c>
    </row>
  </sheetData>
  <mergeCells count="11">
    <mergeCell ref="C35:C37"/>
    <mergeCell ref="C31:C33"/>
    <mergeCell ref="C27:C29"/>
    <mergeCell ref="C23:C25"/>
    <mergeCell ref="C19:C21"/>
    <mergeCell ref="C15:C17"/>
    <mergeCell ref="I1:J1"/>
    <mergeCell ref="A2:J2"/>
    <mergeCell ref="A3:J3"/>
    <mergeCell ref="A6:A9"/>
    <mergeCell ref="C7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8"/>
  <sheetViews>
    <sheetView zoomScale="90" zoomScaleNormal="90" workbookViewId="0">
      <selection activeCell="J36" sqref="J36"/>
    </sheetView>
  </sheetViews>
  <sheetFormatPr defaultRowHeight="15" x14ac:dyDescent="0.25"/>
  <cols>
    <col min="1" max="1" width="5.140625" style="236" customWidth="1"/>
    <col min="2" max="2" width="36" style="236" customWidth="1"/>
    <col min="3" max="3" width="15.28515625" style="236" customWidth="1"/>
    <col min="4" max="5" width="18.5703125" style="236" hidden="1" customWidth="1"/>
    <col min="6" max="10" width="18.5703125" style="236" customWidth="1"/>
  </cols>
  <sheetData>
    <row r="1" spans="1:17" ht="88.5" customHeight="1" x14ac:dyDescent="0.25">
      <c r="A1" s="232"/>
      <c r="B1" s="219"/>
      <c r="C1" s="232"/>
      <c r="D1" s="235"/>
      <c r="E1" s="235"/>
      <c r="F1" s="235"/>
      <c r="I1" s="1086" t="s">
        <v>277</v>
      </c>
      <c r="J1" s="1086"/>
    </row>
    <row r="2" spans="1:17" ht="18.75" x14ac:dyDescent="0.25">
      <c r="A2" s="1087" t="s">
        <v>271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7" ht="25.5" x14ac:dyDescent="0.25">
      <c r="A5" s="226" t="s">
        <v>173</v>
      </c>
      <c r="B5" s="226" t="s">
        <v>223</v>
      </c>
      <c r="C5" s="226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7" x14ac:dyDescent="0.25">
      <c r="A6" s="226"/>
      <c r="B6" s="226" t="s">
        <v>224</v>
      </c>
      <c r="C6" s="226"/>
      <c r="D6" s="291">
        <f>D7</f>
        <v>10000000</v>
      </c>
      <c r="E6" s="291">
        <f t="shared" ref="E6:J6" si="0">E7</f>
        <v>1000000</v>
      </c>
      <c r="F6" s="291">
        <f t="shared" si="0"/>
        <v>1000000</v>
      </c>
      <c r="G6" s="291">
        <f t="shared" si="0"/>
        <v>0</v>
      </c>
      <c r="H6" s="291">
        <f t="shared" si="0"/>
        <v>0</v>
      </c>
      <c r="I6" s="291">
        <f t="shared" si="0"/>
        <v>0</v>
      </c>
      <c r="J6" s="291">
        <f t="shared" si="0"/>
        <v>0</v>
      </c>
      <c r="K6" s="222">
        <f>D6-'таблица (всего)'!D137</f>
        <v>0</v>
      </c>
      <c r="L6" s="222">
        <f>E6-'таблица (всего)'!E137</f>
        <v>0</v>
      </c>
      <c r="M6" s="222">
        <f>F6-'таблица (всего)'!F137</f>
        <v>0</v>
      </c>
      <c r="N6" s="222">
        <f>G6-'таблица (всего)'!G137</f>
        <v>0</v>
      </c>
      <c r="O6" s="222">
        <f>H6-'таблица (всего)'!H137</f>
        <v>0</v>
      </c>
      <c r="P6" s="222">
        <f>I6-'таблица (всего)'!I137</f>
        <v>0</v>
      </c>
      <c r="Q6" s="222">
        <f>J6-'таблица (всего)'!J137</f>
        <v>0</v>
      </c>
    </row>
    <row r="7" spans="1:17" x14ac:dyDescent="0.25">
      <c r="A7" s="226"/>
      <c r="B7" s="226" t="s">
        <v>225</v>
      </c>
      <c r="C7" s="1095"/>
      <c r="D7" s="291">
        <f>D8+D10</f>
        <v>10000000</v>
      </c>
      <c r="E7" s="291">
        <f t="shared" ref="E7:J7" si="1">E8+E10</f>
        <v>1000000</v>
      </c>
      <c r="F7" s="291">
        <f t="shared" si="1"/>
        <v>1000000</v>
      </c>
      <c r="G7" s="291">
        <f t="shared" si="1"/>
        <v>0</v>
      </c>
      <c r="H7" s="291">
        <f t="shared" si="1"/>
        <v>0</v>
      </c>
      <c r="I7" s="291">
        <f t="shared" si="1"/>
        <v>0</v>
      </c>
      <c r="J7" s="291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6"/>
      <c r="B8" s="226" t="s">
        <v>177</v>
      </c>
      <c r="C8" s="1095"/>
      <c r="D8" s="291">
        <f>D13</f>
        <v>5000000</v>
      </c>
      <c r="E8" s="291">
        <f t="shared" ref="E8:J8" si="2">E13</f>
        <v>500000</v>
      </c>
      <c r="F8" s="291">
        <f t="shared" si="2"/>
        <v>400000</v>
      </c>
      <c r="G8" s="291">
        <f t="shared" si="2"/>
        <v>0</v>
      </c>
      <c r="H8" s="291">
        <f t="shared" si="2"/>
        <v>0</v>
      </c>
      <c r="I8" s="291">
        <f t="shared" si="2"/>
        <v>0</v>
      </c>
      <c r="J8" s="291">
        <f t="shared" si="2"/>
        <v>0</v>
      </c>
      <c r="K8" s="222">
        <f>D8-'таблица (всего)'!D139</f>
        <v>0</v>
      </c>
      <c r="L8" s="222">
        <f>E8-'таблица (всего)'!E139</f>
        <v>0</v>
      </c>
      <c r="M8" s="222">
        <f>F8-'таблица (всего)'!F139</f>
        <v>0</v>
      </c>
      <c r="N8" s="222">
        <f>G8-'таблица (всего)'!G139</f>
        <v>0</v>
      </c>
      <c r="O8" s="222">
        <f>H8-'таблица (всего)'!H139</f>
        <v>0</v>
      </c>
      <c r="P8" s="222">
        <f>I8-'таблица (всего)'!I139</f>
        <v>0</v>
      </c>
      <c r="Q8" s="222">
        <f>J8-'таблица (всего)'!J139</f>
        <v>0</v>
      </c>
    </row>
    <row r="9" spans="1:17" x14ac:dyDescent="0.25">
      <c r="A9" s="226"/>
      <c r="B9" s="226" t="s">
        <v>178</v>
      </c>
      <c r="C9" s="1095"/>
      <c r="D9" s="291">
        <v>0</v>
      </c>
      <c r="E9" s="291">
        <v>0</v>
      </c>
      <c r="F9" s="291">
        <v>0</v>
      </c>
      <c r="G9" s="291">
        <v>0</v>
      </c>
      <c r="H9" s="291">
        <v>0</v>
      </c>
      <c r="I9" s="291">
        <v>0</v>
      </c>
      <c r="J9" s="291">
        <v>0</v>
      </c>
      <c r="K9" s="234"/>
      <c r="L9" s="234"/>
      <c r="M9" s="234"/>
      <c r="N9" s="234"/>
      <c r="O9" s="234"/>
      <c r="P9" s="234"/>
      <c r="Q9" s="234"/>
    </row>
    <row r="10" spans="1:17" ht="25.5" x14ac:dyDescent="0.25">
      <c r="A10" s="226"/>
      <c r="B10" s="226" t="s">
        <v>272</v>
      </c>
      <c r="C10" s="1095"/>
      <c r="D10" s="291">
        <f>D15</f>
        <v>5000000</v>
      </c>
      <c r="E10" s="291">
        <f t="shared" ref="E10:J10" si="3">E15</f>
        <v>500000</v>
      </c>
      <c r="F10" s="291">
        <f t="shared" si="3"/>
        <v>600000</v>
      </c>
      <c r="G10" s="291">
        <f t="shared" si="3"/>
        <v>0</v>
      </c>
      <c r="H10" s="291">
        <f t="shared" si="3"/>
        <v>0</v>
      </c>
      <c r="I10" s="291">
        <f t="shared" si="3"/>
        <v>0</v>
      </c>
      <c r="J10" s="291">
        <f t="shared" si="3"/>
        <v>0</v>
      </c>
      <c r="K10" s="222">
        <f>D10-'таблица (всего)'!D138</f>
        <v>0</v>
      </c>
      <c r="L10" s="222">
        <f>E10-'таблица (всего)'!E138</f>
        <v>0</v>
      </c>
      <c r="M10" s="222">
        <f>F10-'таблица (всего)'!F138</f>
        <v>0</v>
      </c>
      <c r="N10" s="222">
        <f>G10-'таблица (всего)'!G138</f>
        <v>0</v>
      </c>
      <c r="O10" s="222">
        <f>H10-'таблица (всего)'!H138</f>
        <v>0</v>
      </c>
      <c r="P10" s="222">
        <f>I10-'таблица (всего)'!I138</f>
        <v>0</v>
      </c>
      <c r="Q10" s="222">
        <f>J10-'таблица (всего)'!J138</f>
        <v>0</v>
      </c>
    </row>
    <row r="11" spans="1:17" ht="51" x14ac:dyDescent="0.25">
      <c r="A11" s="226" t="s">
        <v>228</v>
      </c>
      <c r="B11" s="226" t="s">
        <v>273</v>
      </c>
      <c r="C11" s="226" t="s">
        <v>180</v>
      </c>
      <c r="D11" s="291">
        <f>D12</f>
        <v>10000000</v>
      </c>
      <c r="E11" s="291">
        <f t="shared" ref="E11:J11" si="4">E12</f>
        <v>1000000</v>
      </c>
      <c r="F11" s="291">
        <f t="shared" si="4"/>
        <v>1000000</v>
      </c>
      <c r="G11" s="291">
        <f t="shared" si="4"/>
        <v>0</v>
      </c>
      <c r="H11" s="291">
        <f t="shared" si="4"/>
        <v>0</v>
      </c>
      <c r="I11" s="291">
        <f t="shared" si="4"/>
        <v>0</v>
      </c>
      <c r="J11" s="291">
        <f t="shared" si="4"/>
        <v>0</v>
      </c>
    </row>
    <row r="12" spans="1:17" x14ac:dyDescent="0.25">
      <c r="A12" s="226"/>
      <c r="B12" s="226" t="s">
        <v>225</v>
      </c>
      <c r="C12" s="1097"/>
      <c r="D12" s="291">
        <f>D13+D15</f>
        <v>10000000</v>
      </c>
      <c r="E12" s="291">
        <f t="shared" ref="E12:J12" si="5">E13+E15</f>
        <v>1000000</v>
      </c>
      <c r="F12" s="291">
        <f t="shared" si="5"/>
        <v>1000000</v>
      </c>
      <c r="G12" s="291">
        <f t="shared" si="5"/>
        <v>0</v>
      </c>
      <c r="H12" s="291">
        <f t="shared" si="5"/>
        <v>0</v>
      </c>
      <c r="I12" s="291">
        <f t="shared" si="5"/>
        <v>0</v>
      </c>
      <c r="J12" s="291">
        <f t="shared" si="5"/>
        <v>0</v>
      </c>
    </row>
    <row r="13" spans="1:17" x14ac:dyDescent="0.25">
      <c r="A13" s="226"/>
      <c r="B13" s="226" t="s">
        <v>177</v>
      </c>
      <c r="C13" s="1097"/>
      <c r="D13" s="291">
        <f t="shared" ref="D13:J13" si="6">D18+D22</f>
        <v>5000000</v>
      </c>
      <c r="E13" s="291">
        <f t="shared" si="6"/>
        <v>500000</v>
      </c>
      <c r="F13" s="291">
        <f t="shared" si="6"/>
        <v>400000</v>
      </c>
      <c r="G13" s="291">
        <f t="shared" si="6"/>
        <v>0</v>
      </c>
      <c r="H13" s="291">
        <f t="shared" si="6"/>
        <v>0</v>
      </c>
      <c r="I13" s="291">
        <f t="shared" si="6"/>
        <v>0</v>
      </c>
      <c r="J13" s="291">
        <f t="shared" si="6"/>
        <v>0</v>
      </c>
    </row>
    <row r="14" spans="1:17" x14ac:dyDescent="0.25">
      <c r="A14" s="226"/>
      <c r="B14" s="226" t="s">
        <v>178</v>
      </c>
      <c r="C14" s="1097"/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0</v>
      </c>
      <c r="J14" s="291">
        <v>0</v>
      </c>
    </row>
    <row r="15" spans="1:17" ht="25.5" x14ac:dyDescent="0.25">
      <c r="A15" s="226"/>
      <c r="B15" s="226" t="s">
        <v>272</v>
      </c>
      <c r="C15" s="1097"/>
      <c r="D15" s="291">
        <f>D28</f>
        <v>5000000</v>
      </c>
      <c r="E15" s="291">
        <f t="shared" ref="E15:J15" si="7">E28</f>
        <v>500000</v>
      </c>
      <c r="F15" s="291">
        <f t="shared" si="7"/>
        <v>600000</v>
      </c>
      <c r="G15" s="291">
        <f t="shared" si="7"/>
        <v>0</v>
      </c>
      <c r="H15" s="291">
        <f t="shared" si="7"/>
        <v>0</v>
      </c>
      <c r="I15" s="291">
        <f t="shared" si="7"/>
        <v>0</v>
      </c>
      <c r="J15" s="291">
        <f t="shared" si="7"/>
        <v>0</v>
      </c>
    </row>
    <row r="16" spans="1:17" ht="127.5" hidden="1" x14ac:dyDescent="0.25">
      <c r="A16" s="240" t="s">
        <v>234</v>
      </c>
      <c r="B16" s="226" t="s">
        <v>274</v>
      </c>
      <c r="C16" s="226" t="s">
        <v>180</v>
      </c>
      <c r="D16" s="291">
        <f>D17</f>
        <v>5000000</v>
      </c>
      <c r="E16" s="291">
        <f t="shared" ref="E16:J17" si="8">E17</f>
        <v>0</v>
      </c>
      <c r="F16" s="291">
        <f t="shared" si="8"/>
        <v>0</v>
      </c>
      <c r="G16" s="291">
        <f t="shared" si="8"/>
        <v>0</v>
      </c>
      <c r="H16" s="291">
        <f t="shared" si="8"/>
        <v>0</v>
      </c>
      <c r="I16" s="291">
        <f t="shared" si="8"/>
        <v>0</v>
      </c>
      <c r="J16" s="291">
        <f t="shared" si="8"/>
        <v>0</v>
      </c>
    </row>
    <row r="17" spans="1:10" hidden="1" x14ac:dyDescent="0.25">
      <c r="A17" s="226"/>
      <c r="B17" s="226" t="s">
        <v>225</v>
      </c>
      <c r="C17" s="1095"/>
      <c r="D17" s="291">
        <f>D18</f>
        <v>5000000</v>
      </c>
      <c r="E17" s="291">
        <f t="shared" si="8"/>
        <v>0</v>
      </c>
      <c r="F17" s="291">
        <f t="shared" si="8"/>
        <v>0</v>
      </c>
      <c r="G17" s="291">
        <f t="shared" si="8"/>
        <v>0</v>
      </c>
      <c r="H17" s="291">
        <f t="shared" si="8"/>
        <v>0</v>
      </c>
      <c r="I17" s="291">
        <f t="shared" si="8"/>
        <v>0</v>
      </c>
      <c r="J17" s="291">
        <f t="shared" si="8"/>
        <v>0</v>
      </c>
    </row>
    <row r="18" spans="1:10" hidden="1" x14ac:dyDescent="0.25">
      <c r="A18" s="226"/>
      <c r="B18" s="226" t="s">
        <v>177</v>
      </c>
      <c r="C18" s="1095"/>
      <c r="D18" s="291">
        <f>'таблица (всего)'!D141</f>
        <v>5000000</v>
      </c>
      <c r="E18" s="291">
        <f>'таблица (всего)'!E141</f>
        <v>0</v>
      </c>
      <c r="F18" s="291">
        <f>'таблица (всего)'!F141</f>
        <v>0</v>
      </c>
      <c r="G18" s="291">
        <f>'таблица (всего)'!G141</f>
        <v>0</v>
      </c>
      <c r="H18" s="291">
        <f>'таблица (всего)'!H141</f>
        <v>0</v>
      </c>
      <c r="I18" s="291">
        <f>'таблица (всего)'!I141</f>
        <v>0</v>
      </c>
      <c r="J18" s="291">
        <f>'таблица (всего)'!J141</f>
        <v>0</v>
      </c>
    </row>
    <row r="19" spans="1:10" hidden="1" x14ac:dyDescent="0.25">
      <c r="A19" s="226"/>
      <c r="B19" s="226" t="s">
        <v>178</v>
      </c>
      <c r="C19" s="1095"/>
      <c r="D19" s="291">
        <v>0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</row>
    <row r="20" spans="1:10" ht="127.5" x14ac:dyDescent="0.25">
      <c r="A20" s="226" t="s">
        <v>235</v>
      </c>
      <c r="B20" s="226" t="s">
        <v>275</v>
      </c>
      <c r="C20" s="1095" t="s">
        <v>180</v>
      </c>
      <c r="D20" s="291">
        <f>D21</f>
        <v>0</v>
      </c>
      <c r="E20" s="291">
        <f t="shared" ref="E20:J21" si="9">E21</f>
        <v>500000</v>
      </c>
      <c r="F20" s="291">
        <f t="shared" si="9"/>
        <v>400000</v>
      </c>
      <c r="G20" s="291">
        <f t="shared" si="9"/>
        <v>0</v>
      </c>
      <c r="H20" s="291">
        <f t="shared" si="9"/>
        <v>0</v>
      </c>
      <c r="I20" s="291">
        <f t="shared" si="9"/>
        <v>0</v>
      </c>
      <c r="J20" s="291">
        <f t="shared" si="9"/>
        <v>0</v>
      </c>
    </row>
    <row r="21" spans="1:10" x14ac:dyDescent="0.25">
      <c r="A21" s="226"/>
      <c r="B21" s="226" t="s">
        <v>225</v>
      </c>
      <c r="C21" s="1095"/>
      <c r="D21" s="291">
        <f>D22</f>
        <v>0</v>
      </c>
      <c r="E21" s="291">
        <f t="shared" si="9"/>
        <v>500000</v>
      </c>
      <c r="F21" s="291">
        <f t="shared" si="9"/>
        <v>400000</v>
      </c>
      <c r="G21" s="291">
        <f t="shared" si="9"/>
        <v>0</v>
      </c>
      <c r="H21" s="291">
        <f t="shared" si="9"/>
        <v>0</v>
      </c>
      <c r="I21" s="291">
        <f t="shared" si="9"/>
        <v>0</v>
      </c>
      <c r="J21" s="291">
        <f t="shared" si="9"/>
        <v>0</v>
      </c>
    </row>
    <row r="22" spans="1:10" x14ac:dyDescent="0.25">
      <c r="A22" s="226"/>
      <c r="B22" s="226" t="s">
        <v>177</v>
      </c>
      <c r="C22" s="1095"/>
      <c r="D22" s="291">
        <f>'таблица (всего)'!D142</f>
        <v>0</v>
      </c>
      <c r="E22" s="291">
        <f>'таблица (всего)'!E142</f>
        <v>500000</v>
      </c>
      <c r="F22" s="291">
        <f>'таблица (всего)'!F142</f>
        <v>400000</v>
      </c>
      <c r="G22" s="291">
        <f>'таблица (всего)'!G142</f>
        <v>0</v>
      </c>
      <c r="H22" s="291">
        <f>'таблица (всего)'!H142</f>
        <v>0</v>
      </c>
      <c r="I22" s="291">
        <f>'таблица (всего)'!I142</f>
        <v>0</v>
      </c>
      <c r="J22" s="291">
        <f>'таблица (всего)'!J142</f>
        <v>0</v>
      </c>
    </row>
    <row r="23" spans="1:10" x14ac:dyDescent="0.25">
      <c r="A23" s="226"/>
      <c r="B23" s="226" t="s">
        <v>178</v>
      </c>
      <c r="C23" s="1095"/>
      <c r="D23" s="291">
        <v>0</v>
      </c>
      <c r="E23" s="291">
        <v>0</v>
      </c>
      <c r="F23" s="291">
        <v>0</v>
      </c>
      <c r="G23" s="291">
        <v>0</v>
      </c>
      <c r="H23" s="291">
        <v>0</v>
      </c>
      <c r="I23" s="291">
        <v>0</v>
      </c>
      <c r="J23" s="291">
        <v>0</v>
      </c>
    </row>
    <row r="24" spans="1:10" ht="51" hidden="1" x14ac:dyDescent="0.25">
      <c r="A24" s="226" t="s">
        <v>246</v>
      </c>
      <c r="B24" s="226" t="s">
        <v>276</v>
      </c>
      <c r="C24" s="226" t="s">
        <v>180</v>
      </c>
      <c r="D24" s="291">
        <f>D25</f>
        <v>5000000</v>
      </c>
      <c r="E24" s="291">
        <f t="shared" ref="E24:J24" si="10">E25</f>
        <v>500000</v>
      </c>
      <c r="F24" s="291">
        <f t="shared" si="10"/>
        <v>600000</v>
      </c>
      <c r="G24" s="291">
        <f t="shared" si="10"/>
        <v>0</v>
      </c>
      <c r="H24" s="291">
        <f t="shared" si="10"/>
        <v>0</v>
      </c>
      <c r="I24" s="291">
        <f t="shared" si="10"/>
        <v>0</v>
      </c>
      <c r="J24" s="291">
        <f t="shared" si="10"/>
        <v>0</v>
      </c>
    </row>
    <row r="25" spans="1:10" hidden="1" x14ac:dyDescent="0.25">
      <c r="A25" s="226"/>
      <c r="B25" s="226" t="s">
        <v>225</v>
      </c>
      <c r="C25" s="1095"/>
      <c r="D25" s="291">
        <f>D28</f>
        <v>5000000</v>
      </c>
      <c r="E25" s="291">
        <f t="shared" ref="E25:J25" si="11">E28</f>
        <v>500000</v>
      </c>
      <c r="F25" s="291">
        <f t="shared" si="11"/>
        <v>600000</v>
      </c>
      <c r="G25" s="291">
        <f t="shared" si="11"/>
        <v>0</v>
      </c>
      <c r="H25" s="291">
        <f t="shared" si="11"/>
        <v>0</v>
      </c>
      <c r="I25" s="291">
        <f t="shared" si="11"/>
        <v>0</v>
      </c>
      <c r="J25" s="291">
        <f t="shared" si="11"/>
        <v>0</v>
      </c>
    </row>
    <row r="26" spans="1:10" hidden="1" x14ac:dyDescent="0.25">
      <c r="A26" s="226"/>
      <c r="B26" s="226" t="s">
        <v>177</v>
      </c>
      <c r="C26" s="1095"/>
      <c r="D26" s="291">
        <v>0</v>
      </c>
      <c r="E26" s="291">
        <v>0</v>
      </c>
      <c r="F26" s="291">
        <v>0</v>
      </c>
      <c r="G26" s="291">
        <v>0</v>
      </c>
      <c r="H26" s="291">
        <v>0</v>
      </c>
      <c r="I26" s="291">
        <v>0</v>
      </c>
      <c r="J26" s="291">
        <v>0</v>
      </c>
    </row>
    <row r="27" spans="1:10" hidden="1" x14ac:dyDescent="0.25">
      <c r="A27" s="226"/>
      <c r="B27" s="226" t="s">
        <v>178</v>
      </c>
      <c r="C27" s="1095"/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</row>
    <row r="28" spans="1:10" ht="25.5" hidden="1" x14ac:dyDescent="0.25">
      <c r="A28" s="226"/>
      <c r="B28" s="226" t="s">
        <v>272</v>
      </c>
      <c r="C28" s="1095"/>
      <c r="D28" s="291">
        <f>'таблица (всего)'!D143</f>
        <v>5000000</v>
      </c>
      <c r="E28" s="291">
        <f>'таблица (всего)'!E143</f>
        <v>500000</v>
      </c>
      <c r="F28" s="291">
        <f>'таблица (всего)'!F143</f>
        <v>600000</v>
      </c>
      <c r="G28" s="291">
        <f>'таблица (всего)'!G143</f>
        <v>0</v>
      </c>
      <c r="H28" s="291">
        <f>'таблица (всего)'!H143</f>
        <v>0</v>
      </c>
      <c r="I28" s="291">
        <f>'таблица (всего)'!I143</f>
        <v>0</v>
      </c>
      <c r="J28" s="291">
        <f>'таблица (всего)'!J143</f>
        <v>0</v>
      </c>
    </row>
  </sheetData>
  <mergeCells count="8">
    <mergeCell ref="C20:C23"/>
    <mergeCell ref="C25:C28"/>
    <mergeCell ref="C12:C15"/>
    <mergeCell ref="I1:J1"/>
    <mergeCell ref="A2:J2"/>
    <mergeCell ref="A3:J3"/>
    <mergeCell ref="C7:C10"/>
    <mergeCell ref="C17:C1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7"/>
  <sheetViews>
    <sheetView topLeftCell="A4" zoomScale="90" zoomScaleNormal="90" workbookViewId="0">
      <selection activeCell="G21" sqref="G21"/>
    </sheetView>
  </sheetViews>
  <sheetFormatPr defaultRowHeight="15" x14ac:dyDescent="0.25"/>
  <cols>
    <col min="1" max="1" width="5.140625" style="274" customWidth="1"/>
    <col min="2" max="2" width="36" style="274" customWidth="1"/>
    <col min="3" max="3" width="15.28515625" style="274" customWidth="1"/>
    <col min="4" max="5" width="18.5703125" style="274" hidden="1" customWidth="1"/>
    <col min="6" max="10" width="18.5703125" style="274" customWidth="1"/>
  </cols>
  <sheetData>
    <row r="1" spans="1:18" ht="91.5" customHeight="1" x14ac:dyDescent="0.25">
      <c r="A1" s="276"/>
      <c r="B1" s="277"/>
      <c r="C1" s="276"/>
      <c r="D1" s="278"/>
      <c r="E1" s="278"/>
      <c r="F1" s="278"/>
      <c r="G1" s="276"/>
      <c r="H1" s="276"/>
      <c r="I1" s="1086" t="s">
        <v>287</v>
      </c>
      <c r="J1" s="1086"/>
    </row>
    <row r="2" spans="1:18" ht="18.75" x14ac:dyDescent="0.25">
      <c r="A2" s="1087" t="s">
        <v>271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8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8" ht="18.75" x14ac:dyDescent="0.25">
      <c r="A4" s="233"/>
      <c r="B4" s="233"/>
      <c r="C4" s="233"/>
      <c r="D4" s="233"/>
      <c r="E4" s="233"/>
      <c r="F4" s="233"/>
      <c r="G4" s="233"/>
      <c r="H4" s="233"/>
      <c r="I4" s="233"/>
      <c r="J4" s="79" t="s">
        <v>172</v>
      </c>
    </row>
    <row r="5" spans="1:18" ht="30" customHeight="1" x14ac:dyDescent="0.25">
      <c r="A5" s="224" t="s">
        <v>245</v>
      </c>
      <c r="B5" s="224" t="s">
        <v>285</v>
      </c>
      <c r="C5" s="224" t="s">
        <v>175</v>
      </c>
      <c r="D5" s="224">
        <v>2014</v>
      </c>
      <c r="E5" s="224">
        <v>2015</v>
      </c>
      <c r="F5" s="224">
        <v>2016</v>
      </c>
      <c r="G5" s="224">
        <v>2017</v>
      </c>
      <c r="H5" s="224">
        <v>2018</v>
      </c>
      <c r="I5" s="224">
        <v>2019</v>
      </c>
      <c r="J5" s="224">
        <v>2020</v>
      </c>
    </row>
    <row r="6" spans="1:18" x14ac:dyDescent="0.25">
      <c r="A6" s="275"/>
      <c r="B6" s="226" t="s">
        <v>224</v>
      </c>
      <c r="C6" s="275"/>
      <c r="D6" s="147">
        <f>D7</f>
        <v>7839427400</v>
      </c>
      <c r="E6" s="147">
        <f t="shared" ref="E6:J6" si="0">E7</f>
        <v>8980440100</v>
      </c>
      <c r="F6" s="147">
        <f t="shared" si="0"/>
        <v>8686826900</v>
      </c>
      <c r="G6" s="147">
        <f t="shared" si="0"/>
        <v>9313583900</v>
      </c>
      <c r="H6" s="147">
        <f t="shared" si="0"/>
        <v>10369593900</v>
      </c>
      <c r="I6" s="147">
        <f t="shared" si="0"/>
        <v>10909676400</v>
      </c>
      <c r="J6" s="147">
        <f t="shared" si="0"/>
        <v>10909676400</v>
      </c>
      <c r="K6" s="222">
        <f>D6-'таблица (всего)'!D144</f>
        <v>0</v>
      </c>
      <c r="L6" s="222">
        <f>E6-'таблица (всего)'!E144</f>
        <v>0</v>
      </c>
      <c r="M6" s="222">
        <f>F6-'таблица (всего)'!F144</f>
        <v>0</v>
      </c>
      <c r="N6" s="222">
        <f>G6-'таблица (всего)'!G144</f>
        <v>0</v>
      </c>
      <c r="O6" s="222">
        <f>H6-'таблица (всего)'!H144</f>
        <v>0</v>
      </c>
      <c r="P6" s="222">
        <f>I6-'таблица (всего)'!I144</f>
        <v>0</v>
      </c>
      <c r="Q6" s="222">
        <f>J6-'таблица (всего)'!J144</f>
        <v>0</v>
      </c>
      <c r="R6" s="222"/>
    </row>
    <row r="7" spans="1:18" x14ac:dyDescent="0.25">
      <c r="A7" s="275"/>
      <c r="B7" s="226" t="s">
        <v>179</v>
      </c>
      <c r="C7" s="1098"/>
      <c r="D7" s="147">
        <f>D8</f>
        <v>7839427400</v>
      </c>
      <c r="E7" s="147">
        <f t="shared" ref="E7:J7" si="1">E8</f>
        <v>8980440100</v>
      </c>
      <c r="F7" s="147">
        <f t="shared" si="1"/>
        <v>8686826900</v>
      </c>
      <c r="G7" s="147">
        <f t="shared" si="1"/>
        <v>9313583900</v>
      </c>
      <c r="H7" s="147">
        <f t="shared" si="1"/>
        <v>10369593900</v>
      </c>
      <c r="I7" s="147">
        <f t="shared" si="1"/>
        <v>10909676400</v>
      </c>
      <c r="J7" s="147">
        <f t="shared" si="1"/>
        <v>10909676400</v>
      </c>
    </row>
    <row r="8" spans="1:18" ht="25.5" x14ac:dyDescent="0.25">
      <c r="A8" s="275"/>
      <c r="B8" s="226" t="s">
        <v>230</v>
      </c>
      <c r="C8" s="1098"/>
      <c r="D8" s="147">
        <f>D11</f>
        <v>7839427400</v>
      </c>
      <c r="E8" s="147">
        <f t="shared" ref="E8:J8" si="2">E11</f>
        <v>8980440100</v>
      </c>
      <c r="F8" s="147">
        <f t="shared" si="2"/>
        <v>8686826900</v>
      </c>
      <c r="G8" s="147">
        <f t="shared" si="2"/>
        <v>9313583900</v>
      </c>
      <c r="H8" s="147">
        <f t="shared" si="2"/>
        <v>10369593900</v>
      </c>
      <c r="I8" s="147">
        <f t="shared" si="2"/>
        <v>10909676400</v>
      </c>
      <c r="J8" s="147">
        <f t="shared" si="2"/>
        <v>10909676400</v>
      </c>
    </row>
    <row r="9" spans="1:18" ht="89.25" x14ac:dyDescent="0.25">
      <c r="A9" s="275" t="s">
        <v>228</v>
      </c>
      <c r="B9" s="226" t="str">
        <f>'таблица (всего)'!C145</f>
        <v xml:space="preserve">Обеспечение оказания в полном объеме и на должном уровне качества бесплатной медицинской помощи населению Ивановской области, финансирование оказания которой осуществляется за счет средств ОМС
</v>
      </c>
      <c r="C9" s="275" t="s">
        <v>286</v>
      </c>
      <c r="D9" s="147">
        <f>D10</f>
        <v>7839427400</v>
      </c>
      <c r="E9" s="147">
        <f t="shared" ref="E9:J9" si="3">E10</f>
        <v>8980440100</v>
      </c>
      <c r="F9" s="147">
        <f t="shared" si="3"/>
        <v>8686826900</v>
      </c>
      <c r="G9" s="147">
        <f t="shared" si="3"/>
        <v>9313583900</v>
      </c>
      <c r="H9" s="147">
        <f t="shared" si="3"/>
        <v>10369593900</v>
      </c>
      <c r="I9" s="147">
        <f t="shared" si="3"/>
        <v>10909676400</v>
      </c>
      <c r="J9" s="147">
        <f t="shared" si="3"/>
        <v>10909676400</v>
      </c>
    </row>
    <row r="10" spans="1:18" x14ac:dyDescent="0.25">
      <c r="A10" s="275"/>
      <c r="B10" s="226" t="s">
        <v>179</v>
      </c>
      <c r="C10" s="1098"/>
      <c r="D10" s="147">
        <f>D11</f>
        <v>7839427400</v>
      </c>
      <c r="E10" s="147">
        <f t="shared" ref="E10:J10" si="4">E11</f>
        <v>8980440100</v>
      </c>
      <c r="F10" s="147">
        <f t="shared" si="4"/>
        <v>8686826900</v>
      </c>
      <c r="G10" s="147">
        <f t="shared" si="4"/>
        <v>9313583900</v>
      </c>
      <c r="H10" s="147">
        <f t="shared" si="4"/>
        <v>10369593900</v>
      </c>
      <c r="I10" s="147">
        <f t="shared" si="4"/>
        <v>10909676400</v>
      </c>
      <c r="J10" s="147">
        <f t="shared" si="4"/>
        <v>10909676400</v>
      </c>
    </row>
    <row r="11" spans="1:18" ht="25.5" x14ac:dyDescent="0.25">
      <c r="A11" s="275"/>
      <c r="B11" s="226" t="s">
        <v>230</v>
      </c>
      <c r="C11" s="1098"/>
      <c r="D11" s="147">
        <f t="shared" ref="D11:J11" si="5">D14+D17</f>
        <v>7839427400</v>
      </c>
      <c r="E11" s="147">
        <f t="shared" si="5"/>
        <v>8980440100</v>
      </c>
      <c r="F11" s="147">
        <f t="shared" si="5"/>
        <v>8686826900</v>
      </c>
      <c r="G11" s="147">
        <f t="shared" si="5"/>
        <v>9313583900</v>
      </c>
      <c r="H11" s="147">
        <f t="shared" si="5"/>
        <v>10369593900</v>
      </c>
      <c r="I11" s="147">
        <f t="shared" si="5"/>
        <v>10909676400</v>
      </c>
      <c r="J11" s="147">
        <f t="shared" si="5"/>
        <v>10909676400</v>
      </c>
    </row>
    <row r="12" spans="1:18" ht="89.25" x14ac:dyDescent="0.25">
      <c r="A12" s="240" t="s">
        <v>234</v>
      </c>
      <c r="B12" s="226" t="str">
        <f>'таблица (всего)'!C146</f>
        <v>Финансовое обеспечение организации обязательного медицинского страхования на территориях субъектов Российской Федерации</v>
      </c>
      <c r="C12" s="226" t="s">
        <v>286</v>
      </c>
      <c r="D12" s="147">
        <f>D13</f>
        <v>7671820400</v>
      </c>
      <c r="E12" s="147">
        <f t="shared" ref="E12:J12" si="6">E13</f>
        <v>8763677800</v>
      </c>
      <c r="F12" s="147">
        <f t="shared" si="6"/>
        <v>8401199900</v>
      </c>
      <c r="G12" s="147">
        <f t="shared" si="6"/>
        <v>9313483900</v>
      </c>
      <c r="H12" s="147">
        <f t="shared" si="6"/>
        <v>10369493900</v>
      </c>
      <c r="I12" s="147">
        <f t="shared" si="6"/>
        <v>10909576400</v>
      </c>
      <c r="J12" s="147">
        <f t="shared" si="6"/>
        <v>10909576400</v>
      </c>
    </row>
    <row r="13" spans="1:18" x14ac:dyDescent="0.25">
      <c r="A13" s="275"/>
      <c r="B13" s="226" t="s">
        <v>179</v>
      </c>
      <c r="C13" s="1098"/>
      <c r="D13" s="147">
        <f>D14</f>
        <v>7671820400</v>
      </c>
      <c r="E13" s="147">
        <f t="shared" ref="E13:J13" si="7">E14</f>
        <v>8763677800</v>
      </c>
      <c r="F13" s="147">
        <f t="shared" si="7"/>
        <v>8401199900</v>
      </c>
      <c r="G13" s="147">
        <f t="shared" si="7"/>
        <v>9313483900</v>
      </c>
      <c r="H13" s="147">
        <f t="shared" si="7"/>
        <v>10369493900</v>
      </c>
      <c r="I13" s="147">
        <f t="shared" si="7"/>
        <v>10909576400</v>
      </c>
      <c r="J13" s="147">
        <f t="shared" si="7"/>
        <v>10909576400</v>
      </c>
    </row>
    <row r="14" spans="1:18" ht="25.5" x14ac:dyDescent="0.25">
      <c r="A14" s="275"/>
      <c r="B14" s="226" t="s">
        <v>230</v>
      </c>
      <c r="C14" s="1098"/>
      <c r="D14" s="147">
        <f>'таблица (всего)'!D146</f>
        <v>7671820400</v>
      </c>
      <c r="E14" s="147">
        <f>'таблица (всего)'!E146</f>
        <v>8763677800</v>
      </c>
      <c r="F14" s="147">
        <f>'таблица (всего)'!F146</f>
        <v>8401199900</v>
      </c>
      <c r="G14" s="147">
        <f>'таблица (всего)'!G146</f>
        <v>9313483900</v>
      </c>
      <c r="H14" s="147">
        <f>'таблица (всего)'!H146</f>
        <v>10369493900</v>
      </c>
      <c r="I14" s="147">
        <f>'таблица (всего)'!I146</f>
        <v>10909576400</v>
      </c>
      <c r="J14" s="147">
        <f>'таблица (всего)'!J146</f>
        <v>10909576400</v>
      </c>
    </row>
    <row r="15" spans="1:18" ht="89.25" x14ac:dyDescent="0.25">
      <c r="A15" s="240" t="s">
        <v>235</v>
      </c>
      <c r="B15" s="226" t="str">
        <f>'таблица (всего)'!C147</f>
        <v xml:space="preserve">Дополнительное финансовое обеспечение организации обязательного медицинского страхования на территории Ивановской области </v>
      </c>
      <c r="C15" s="226" t="s">
        <v>286</v>
      </c>
      <c r="D15" s="147">
        <f>D16</f>
        <v>167607000</v>
      </c>
      <c r="E15" s="147">
        <f t="shared" ref="E15:J15" si="8">E16</f>
        <v>216762300</v>
      </c>
      <c r="F15" s="147">
        <f t="shared" si="8"/>
        <v>285627000</v>
      </c>
      <c r="G15" s="147">
        <f t="shared" si="8"/>
        <v>100000</v>
      </c>
      <c r="H15" s="147">
        <f t="shared" si="8"/>
        <v>100000</v>
      </c>
      <c r="I15" s="147">
        <f t="shared" si="8"/>
        <v>100000</v>
      </c>
      <c r="J15" s="147">
        <f t="shared" si="8"/>
        <v>100000</v>
      </c>
    </row>
    <row r="16" spans="1:18" x14ac:dyDescent="0.25">
      <c r="A16" s="275"/>
      <c r="B16" s="226" t="s">
        <v>179</v>
      </c>
      <c r="C16" s="1098"/>
      <c r="D16" s="147">
        <f>D17</f>
        <v>167607000</v>
      </c>
      <c r="E16" s="147">
        <f t="shared" ref="E16:J16" si="9">E17</f>
        <v>216762300</v>
      </c>
      <c r="F16" s="147">
        <f t="shared" si="9"/>
        <v>285627000</v>
      </c>
      <c r="G16" s="147">
        <f t="shared" si="9"/>
        <v>100000</v>
      </c>
      <c r="H16" s="147">
        <f t="shared" si="9"/>
        <v>100000</v>
      </c>
      <c r="I16" s="147">
        <f t="shared" si="9"/>
        <v>100000</v>
      </c>
      <c r="J16" s="147">
        <f t="shared" si="9"/>
        <v>100000</v>
      </c>
    </row>
    <row r="17" spans="1:10" ht="25.5" x14ac:dyDescent="0.25">
      <c r="A17" s="275"/>
      <c r="B17" s="226" t="s">
        <v>230</v>
      </c>
      <c r="C17" s="1098"/>
      <c r="D17" s="147">
        <f>'таблица (всего)'!D147</f>
        <v>167607000</v>
      </c>
      <c r="E17" s="147">
        <f>'таблица (всего)'!E147</f>
        <v>216762300</v>
      </c>
      <c r="F17" s="147">
        <f>'таблица (всего)'!F147</f>
        <v>285627000</v>
      </c>
      <c r="G17" s="147">
        <f>'таблица (всего)'!G147</f>
        <v>100000</v>
      </c>
      <c r="H17" s="147">
        <f>'таблица (всего)'!H147</f>
        <v>100000</v>
      </c>
      <c r="I17" s="147">
        <f>'таблица (всего)'!I147</f>
        <v>100000</v>
      </c>
      <c r="J17" s="147">
        <f>'таблица (всего)'!J147</f>
        <v>100000</v>
      </c>
    </row>
  </sheetData>
  <mergeCells count="7">
    <mergeCell ref="C7:C8"/>
    <mergeCell ref="C10:C11"/>
    <mergeCell ref="C13:C14"/>
    <mergeCell ref="C16:C17"/>
    <mergeCell ref="I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9"/>
  <sheetViews>
    <sheetView topLeftCell="A4" workbookViewId="0">
      <selection activeCell="K29" sqref="K29"/>
    </sheetView>
  </sheetViews>
  <sheetFormatPr defaultRowHeight="15" x14ac:dyDescent="0.25"/>
  <cols>
    <col min="2" max="2" width="27.42578125" customWidth="1"/>
    <col min="3" max="3" width="18.42578125" customWidth="1"/>
    <col min="4" max="10" width="17.42578125" customWidth="1"/>
  </cols>
  <sheetData>
    <row r="1" spans="1:17" ht="104.25" customHeight="1" x14ac:dyDescent="0.25">
      <c r="A1" s="276"/>
      <c r="B1" s="277"/>
      <c r="C1" s="276"/>
      <c r="D1" s="278"/>
      <c r="E1" s="278"/>
      <c r="F1" s="278"/>
      <c r="G1" s="284"/>
      <c r="H1" s="284"/>
      <c r="I1" s="1086" t="s">
        <v>309</v>
      </c>
      <c r="J1" s="1086"/>
    </row>
    <row r="2" spans="1:17" ht="18.75" x14ac:dyDescent="0.25">
      <c r="A2" s="1087" t="s">
        <v>308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7" t="s">
        <v>307</v>
      </c>
      <c r="B3" s="1087"/>
      <c r="C3" s="1087"/>
      <c r="D3" s="1087"/>
      <c r="E3" s="1087"/>
      <c r="F3" s="1087"/>
      <c r="G3" s="1087"/>
      <c r="H3" s="1087"/>
      <c r="I3" s="1087"/>
      <c r="J3" s="1087"/>
    </row>
    <row r="4" spans="1:17" ht="18.75" x14ac:dyDescent="0.25">
      <c r="A4" s="289"/>
      <c r="J4" s="79"/>
    </row>
    <row r="5" spans="1:17" x14ac:dyDescent="0.25">
      <c r="A5" s="1099" t="s">
        <v>245</v>
      </c>
      <c r="B5" s="1099" t="s">
        <v>293</v>
      </c>
      <c r="C5" s="1099" t="s">
        <v>175</v>
      </c>
      <c r="D5" s="1099">
        <v>2014</v>
      </c>
      <c r="E5" s="1099">
        <v>2015</v>
      </c>
      <c r="F5" s="1099">
        <v>2016</v>
      </c>
      <c r="G5" s="1099">
        <v>2017</v>
      </c>
      <c r="H5" s="1099">
        <v>2018</v>
      </c>
      <c r="I5" s="1099">
        <v>2019</v>
      </c>
      <c r="J5" s="1099">
        <v>2020</v>
      </c>
    </row>
    <row r="6" spans="1:17" x14ac:dyDescent="0.25">
      <c r="A6" s="1099"/>
      <c r="B6" s="1099"/>
      <c r="C6" s="1099"/>
      <c r="D6" s="1099"/>
      <c r="E6" s="1099"/>
      <c r="F6" s="1099"/>
      <c r="G6" s="1099"/>
      <c r="H6" s="1099"/>
      <c r="I6" s="1099"/>
      <c r="J6" s="1099"/>
    </row>
    <row r="7" spans="1:17" ht="127.5" x14ac:dyDescent="0.25">
      <c r="A7" s="223" t="s">
        <v>258</v>
      </c>
      <c r="B7" s="282" t="str">
        <f>'таблица (всего)'!C151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7" s="282" t="s">
        <v>180</v>
      </c>
      <c r="D7" s="227">
        <f>'таблица (всего)'!D151</f>
        <v>1492600</v>
      </c>
      <c r="E7" s="227">
        <f>'таблица (всего)'!E151</f>
        <v>139200.01</v>
      </c>
      <c r="F7" s="227">
        <f>'таблица (всего)'!F151</f>
        <v>339302.5</v>
      </c>
      <c r="G7" s="227">
        <f>'таблица (всего)'!G151</f>
        <v>339302.5</v>
      </c>
      <c r="H7" s="227">
        <f>'таблица (всего)'!H151</f>
        <v>339302.5</v>
      </c>
      <c r="I7" s="227">
        <f>'таблица (всего)'!I151</f>
        <v>339302.5</v>
      </c>
      <c r="J7" s="227">
        <f>'таблица (всего)'!J151</f>
        <v>339302.5</v>
      </c>
      <c r="K7" s="243">
        <f>D7-'таблица (всего)'!D151</f>
        <v>0</v>
      </c>
      <c r="L7" s="243">
        <f>E7-'таблица (всего)'!E151</f>
        <v>0</v>
      </c>
      <c r="M7" s="243">
        <f>F7-'таблица (всего)'!F151</f>
        <v>0</v>
      </c>
      <c r="N7" s="243">
        <f>G7-'таблица (всего)'!G151</f>
        <v>0</v>
      </c>
      <c r="O7" s="243">
        <f>H7-'таблица (всего)'!H151</f>
        <v>0</v>
      </c>
      <c r="P7" s="243">
        <f>I7-'таблица (всего)'!I151</f>
        <v>0</v>
      </c>
      <c r="Q7" s="243">
        <f>J7-'таблица (всего)'!J151</f>
        <v>0</v>
      </c>
    </row>
    <row r="8" spans="1:17" ht="95.25" customHeight="1" x14ac:dyDescent="0.25">
      <c r="A8" s="223" t="s">
        <v>229</v>
      </c>
      <c r="B8" s="282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C8" s="282" t="s">
        <v>180</v>
      </c>
      <c r="D8" s="227">
        <f>'таблица (всего)'!D152</f>
        <v>50256200</v>
      </c>
      <c r="E8" s="227">
        <f>'таблица (всего)'!E152</f>
        <v>51702353.490000002</v>
      </c>
      <c r="F8" s="227">
        <f>'таблица (всего)'!F152</f>
        <v>42667502.5</v>
      </c>
      <c r="G8" s="227">
        <f>'таблица (всего)'!G152</f>
        <v>40235155.979999997</v>
      </c>
      <c r="H8" s="227">
        <f>'таблица (всего)'!H152</f>
        <v>40235155.979999997</v>
      </c>
      <c r="I8" s="227">
        <f>'таблица (всего)'!I152</f>
        <v>40235144.469999999</v>
      </c>
      <c r="J8" s="227">
        <f>'таблица (всего)'!J152</f>
        <v>40235144.469999999</v>
      </c>
      <c r="K8" s="243">
        <f>D8-'таблица (всего)'!D152</f>
        <v>0</v>
      </c>
      <c r="L8" s="243">
        <f>E8-'таблица (всего)'!E152</f>
        <v>0</v>
      </c>
      <c r="M8" s="243">
        <f>F8-'таблица (всего)'!F152</f>
        <v>0</v>
      </c>
      <c r="N8" s="243">
        <f>G8-'таблица (всего)'!G152</f>
        <v>0</v>
      </c>
      <c r="O8" s="243">
        <f>H8-'таблица (всего)'!H152</f>
        <v>0</v>
      </c>
      <c r="P8" s="243">
        <f>I8-'таблица (всего)'!I152</f>
        <v>0</v>
      </c>
      <c r="Q8" s="243">
        <f>J8-'таблица (всего)'!J152</f>
        <v>0</v>
      </c>
    </row>
    <row r="9" spans="1:17" ht="74.25" customHeight="1" x14ac:dyDescent="0.25">
      <c r="A9" s="223" t="s">
        <v>306</v>
      </c>
      <c r="B9" s="282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C9" s="282" t="s">
        <v>180</v>
      </c>
      <c r="D9" s="227">
        <f>'таблица (всего)'!D153</f>
        <v>7172800</v>
      </c>
      <c r="E9" s="227">
        <f>'таблица (всего)'!E153</f>
        <v>7172796</v>
      </c>
      <c r="F9" s="227">
        <f>'таблица (всего)'!F153</f>
        <v>7172796</v>
      </c>
      <c r="G9" s="227">
        <f>'таблица (всего)'!G153</f>
        <v>8050644</v>
      </c>
      <c r="H9" s="227">
        <f>'таблица (всего)'!H153</f>
        <v>8050644</v>
      </c>
      <c r="I9" s="227">
        <f>'таблица (всего)'!I153</f>
        <v>8050644</v>
      </c>
      <c r="J9" s="227">
        <f>'таблица (всего)'!J153</f>
        <v>8050644</v>
      </c>
      <c r="K9" s="243">
        <f>D9-'таблица (всего)'!D153</f>
        <v>0</v>
      </c>
      <c r="L9" s="243">
        <f>E9-'таблица (всего)'!E153</f>
        <v>0</v>
      </c>
      <c r="M9" s="243">
        <f>F9-'таблица (всего)'!F153</f>
        <v>0</v>
      </c>
      <c r="N9" s="243">
        <f>G9-'таблица (всего)'!G153</f>
        <v>0</v>
      </c>
      <c r="O9" s="243">
        <f>H9-'таблица (всего)'!H153</f>
        <v>0</v>
      </c>
      <c r="P9" s="243">
        <f>I9-'таблица (всего)'!I153</f>
        <v>0</v>
      </c>
      <c r="Q9" s="243">
        <f>J9-'таблица (всего)'!J153</f>
        <v>0</v>
      </c>
    </row>
    <row r="10" spans="1:17" ht="51" customHeight="1" x14ac:dyDescent="0.25">
      <c r="A10" s="223"/>
      <c r="B10" s="282" t="str">
        <f>'таблица (всего)'!C154</f>
        <v>Предоставление жилых помещений в общежитиях</v>
      </c>
      <c r="C10" s="282" t="s">
        <v>180</v>
      </c>
      <c r="D10" s="227">
        <f>'таблица (всего)'!D154</f>
        <v>0</v>
      </c>
      <c r="E10" s="227">
        <f>'таблица (всего)'!E154</f>
        <v>0</v>
      </c>
      <c r="F10" s="227">
        <f>'таблица (всего)'!F154</f>
        <v>4932279</v>
      </c>
      <c r="G10" s="227">
        <f>'таблица (всего)'!G154</f>
        <v>3400443.76</v>
      </c>
      <c r="H10" s="227">
        <f>'таблица (всего)'!H154</f>
        <v>3400443.76</v>
      </c>
      <c r="I10" s="227">
        <f>'таблица (всего)'!I154</f>
        <v>3400444</v>
      </c>
      <c r="J10" s="227">
        <f>'таблица (всего)'!J154</f>
        <v>3400444</v>
      </c>
      <c r="K10" s="243">
        <f>D10-'таблица (всего)'!D154</f>
        <v>0</v>
      </c>
      <c r="L10" s="243">
        <f>E10-'таблица (всего)'!E154</f>
        <v>0</v>
      </c>
      <c r="M10" s="243">
        <f>F10-'таблица (всего)'!F154</f>
        <v>0</v>
      </c>
      <c r="N10" s="243">
        <f>G10-'таблица (всего)'!G154</f>
        <v>0</v>
      </c>
      <c r="O10" s="243">
        <f>H10-'таблица (всего)'!H154</f>
        <v>0</v>
      </c>
      <c r="P10" s="243">
        <f>I10-'таблица (всего)'!I154</f>
        <v>0</v>
      </c>
      <c r="Q10" s="243">
        <f>J10-'таблица (всего)'!J154</f>
        <v>0</v>
      </c>
    </row>
    <row r="11" spans="1:17" ht="92.25" customHeight="1" x14ac:dyDescent="0.25">
      <c r="A11" s="223"/>
      <c r="B11" s="282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C11" s="282" t="s">
        <v>180</v>
      </c>
      <c r="D11" s="227">
        <f>'таблица (всего)'!D156</f>
        <v>0</v>
      </c>
      <c r="E11" s="227">
        <f>'таблица (всего)'!E156</f>
        <v>16000</v>
      </c>
      <c r="F11" s="227">
        <f>'таблица (всего)'!F156</f>
        <v>80000</v>
      </c>
      <c r="G11" s="227">
        <f>'таблица (всего)'!G156</f>
        <v>0</v>
      </c>
      <c r="H11" s="227">
        <f>'таблица (всего)'!H156</f>
        <v>0</v>
      </c>
      <c r="I11" s="227">
        <f>'таблица (всего)'!I156</f>
        <v>0</v>
      </c>
      <c r="J11" s="227">
        <f>'таблица (всего)'!J156</f>
        <v>0</v>
      </c>
      <c r="K11" s="243">
        <f>D11-'таблица (всего)'!D156</f>
        <v>0</v>
      </c>
      <c r="L11" s="243">
        <f>E11-'таблица (всего)'!E156</f>
        <v>0</v>
      </c>
      <c r="M11" s="243">
        <f>F11-'таблица (всего)'!F156</f>
        <v>0</v>
      </c>
      <c r="N11" s="243">
        <f>G11-'таблица (всего)'!G156</f>
        <v>0</v>
      </c>
      <c r="O11" s="243">
        <f>H11-'таблица (всего)'!H156</f>
        <v>0</v>
      </c>
      <c r="P11" s="243">
        <f>I11-'таблица (всего)'!I156</f>
        <v>0</v>
      </c>
      <c r="Q11" s="243">
        <f>J11-'таблица (всего)'!J156</f>
        <v>0</v>
      </c>
    </row>
    <row r="13" spans="1:17" ht="105" customHeight="1" x14ac:dyDescent="0.25">
      <c r="A13" s="276"/>
      <c r="B13" s="277"/>
      <c r="C13" s="276"/>
      <c r="D13" s="278"/>
      <c r="E13" s="278"/>
      <c r="F13" s="278"/>
      <c r="G13" s="284"/>
      <c r="H13" s="284"/>
      <c r="I13" s="1086" t="s">
        <v>310</v>
      </c>
      <c r="J13" s="1086"/>
    </row>
    <row r="14" spans="1:17" ht="18.75" x14ac:dyDescent="0.25">
      <c r="A14" s="1087" t="s">
        <v>311</v>
      </c>
      <c r="B14" s="1087"/>
      <c r="C14" s="1087"/>
      <c r="D14" s="1087"/>
      <c r="E14" s="1087"/>
      <c r="F14" s="1087"/>
      <c r="G14" s="1087"/>
      <c r="H14" s="1087"/>
      <c r="I14" s="1087"/>
      <c r="J14" s="1087"/>
    </row>
    <row r="15" spans="1:17" ht="18.75" x14ac:dyDescent="0.25">
      <c r="A15" s="1087" t="s">
        <v>307</v>
      </c>
      <c r="B15" s="1087"/>
      <c r="C15" s="1087"/>
      <c r="D15" s="1087"/>
      <c r="E15" s="1087"/>
      <c r="F15" s="1087"/>
      <c r="G15" s="1087"/>
      <c r="H15" s="1087"/>
      <c r="I15" s="1087"/>
      <c r="J15" s="1087"/>
    </row>
    <row r="16" spans="1:17" ht="18.75" x14ac:dyDescent="0.25">
      <c r="A16" s="289"/>
      <c r="J16" s="79"/>
    </row>
    <row r="17" spans="1:10" x14ac:dyDescent="0.25">
      <c r="A17" s="1099" t="s">
        <v>245</v>
      </c>
      <c r="B17" s="1099" t="s">
        <v>293</v>
      </c>
      <c r="C17" s="1099" t="s">
        <v>175</v>
      </c>
      <c r="D17" s="1099">
        <v>2014</v>
      </c>
      <c r="E17" s="1099">
        <v>2015</v>
      </c>
      <c r="F17" s="1099">
        <v>2016</v>
      </c>
      <c r="G17" s="1099">
        <v>2017</v>
      </c>
      <c r="H17" s="1099">
        <v>2018</v>
      </c>
      <c r="I17" s="1099">
        <v>2019</v>
      </c>
      <c r="J17" s="1099">
        <v>2020</v>
      </c>
    </row>
    <row r="18" spans="1:10" x14ac:dyDescent="0.25">
      <c r="A18" s="1099"/>
      <c r="B18" s="1099"/>
      <c r="C18" s="1099"/>
      <c r="D18" s="1099"/>
      <c r="E18" s="1099"/>
      <c r="F18" s="1099"/>
      <c r="G18" s="1099"/>
      <c r="H18" s="1099"/>
      <c r="I18" s="1099"/>
      <c r="J18" s="1099"/>
    </row>
    <row r="19" spans="1:10" ht="110.25" customHeight="1" x14ac:dyDescent="0.25">
      <c r="A19" s="223" t="s">
        <v>229</v>
      </c>
      <c r="B19" s="282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C19" s="282" t="s">
        <v>180</v>
      </c>
      <c r="D19" s="227">
        <f>'таблица (всего)'!D159</f>
        <v>9263400</v>
      </c>
      <c r="E19" s="227">
        <f>'таблица (всего)'!E159</f>
        <v>9263401.1799999997</v>
      </c>
      <c r="F19" s="227">
        <f>'таблица (всего)'!F159</f>
        <v>8390920.6099999994</v>
      </c>
      <c r="G19" s="227">
        <f>'таблица (всего)'!G159</f>
        <v>6722720.1200000001</v>
      </c>
      <c r="H19" s="227">
        <f>'таблица (всего)'!H159</f>
        <v>6722720.1200000001</v>
      </c>
      <c r="I19" s="227">
        <f>'таблица (всего)'!I159</f>
        <v>6723229.7999999998</v>
      </c>
      <c r="J19" s="227">
        <f>'таблица (всего)'!J159</f>
        <v>6723229.7999999998</v>
      </c>
    </row>
    <row r="21" spans="1:10" ht="105" customHeight="1" x14ac:dyDescent="0.25">
      <c r="A21" s="276"/>
      <c r="B21" s="277"/>
      <c r="C21" s="276"/>
      <c r="D21" s="278"/>
      <c r="E21" s="278"/>
      <c r="F21" s="278"/>
      <c r="G21" s="284"/>
      <c r="H21" s="284"/>
      <c r="I21" s="1086" t="s">
        <v>312</v>
      </c>
      <c r="J21" s="1086"/>
    </row>
    <row r="22" spans="1:10" ht="18.75" x14ac:dyDescent="0.25">
      <c r="A22" s="1087" t="s">
        <v>313</v>
      </c>
      <c r="B22" s="1087"/>
      <c r="C22" s="1087"/>
      <c r="D22" s="1087"/>
      <c r="E22" s="1087"/>
      <c r="F22" s="1087"/>
      <c r="G22" s="1087"/>
      <c r="H22" s="1087"/>
      <c r="I22" s="1087"/>
      <c r="J22" s="1087"/>
    </row>
    <row r="23" spans="1:10" ht="18.75" x14ac:dyDescent="0.25">
      <c r="A23" s="1087" t="s">
        <v>307</v>
      </c>
      <c r="B23" s="1087"/>
      <c r="C23" s="1087"/>
      <c r="D23" s="1087"/>
      <c r="E23" s="1087"/>
      <c r="F23" s="1087"/>
      <c r="G23" s="1087"/>
      <c r="H23" s="1087"/>
      <c r="I23" s="1087"/>
      <c r="J23" s="1087"/>
    </row>
    <row r="24" spans="1:10" ht="18.75" x14ac:dyDescent="0.25">
      <c r="A24" s="289"/>
      <c r="J24" s="79"/>
    </row>
    <row r="25" spans="1:10" x14ac:dyDescent="0.25">
      <c r="A25" s="1099" t="s">
        <v>245</v>
      </c>
      <c r="B25" s="1099" t="s">
        <v>293</v>
      </c>
      <c r="C25" s="1099" t="s">
        <v>175</v>
      </c>
      <c r="D25" s="1099">
        <v>2014</v>
      </c>
      <c r="E25" s="1099">
        <v>2015</v>
      </c>
      <c r="F25" s="1099">
        <v>2016</v>
      </c>
      <c r="G25" s="1099">
        <v>2017</v>
      </c>
      <c r="H25" s="1099">
        <v>2018</v>
      </c>
      <c r="I25" s="1099">
        <v>2019</v>
      </c>
      <c r="J25" s="1099">
        <v>2020</v>
      </c>
    </row>
    <row r="26" spans="1:10" x14ac:dyDescent="0.25">
      <c r="A26" s="1099"/>
      <c r="B26" s="1099"/>
      <c r="C26" s="1099"/>
      <c r="D26" s="1099"/>
      <c r="E26" s="1099"/>
      <c r="F26" s="1099"/>
      <c r="G26" s="1099"/>
      <c r="H26" s="1099"/>
      <c r="I26" s="1099"/>
      <c r="J26" s="1099"/>
    </row>
    <row r="27" spans="1:10" ht="153" x14ac:dyDescent="0.25">
      <c r="A27" s="223" t="s">
        <v>306</v>
      </c>
      <c r="B27" s="282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C27" s="282" t="s">
        <v>180</v>
      </c>
      <c r="D27" s="227">
        <f>'таблица (всего)'!D162</f>
        <v>5500</v>
      </c>
      <c r="E27" s="227">
        <f>'таблица (всего)'!E162</f>
        <v>7500</v>
      </c>
      <c r="F27" s="227">
        <f>'таблица (всего)'!F162</f>
        <v>4000</v>
      </c>
      <c r="G27" s="227">
        <f>'таблица (всего)'!G162</f>
        <v>7500</v>
      </c>
      <c r="H27" s="227">
        <f>'таблица (всего)'!H162</f>
        <v>4500</v>
      </c>
      <c r="I27" s="227">
        <f>'таблица (всего)'!I162</f>
        <v>11000</v>
      </c>
      <c r="J27" s="227">
        <f>'таблица (всего)'!J162</f>
        <v>11000</v>
      </c>
    </row>
    <row r="28" spans="1:10" ht="178.5" x14ac:dyDescent="0.25">
      <c r="A28" s="223" t="s">
        <v>258</v>
      </c>
      <c r="B28" s="282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C28" s="282" t="s">
        <v>180</v>
      </c>
      <c r="D28" s="227">
        <f>'таблица (всего)'!D163</f>
        <v>451600</v>
      </c>
      <c r="E28" s="227">
        <f>'таблица (всего)'!E163</f>
        <v>646590</v>
      </c>
      <c r="F28" s="227">
        <f>'таблица (всего)'!F163</f>
        <v>344848</v>
      </c>
      <c r="G28" s="227">
        <f>'таблица (всего)'!G163</f>
        <v>646590</v>
      </c>
      <c r="H28" s="227">
        <f>'таблица (всего)'!H163</f>
        <v>387954</v>
      </c>
      <c r="I28" s="227">
        <f>'таблица (всего)'!I163</f>
        <v>948332</v>
      </c>
      <c r="J28" s="227">
        <f>'таблица (всего)'!J163</f>
        <v>948332</v>
      </c>
    </row>
    <row r="29" spans="1:10" ht="204" x14ac:dyDescent="0.25">
      <c r="A29" s="223"/>
      <c r="B29" s="282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C29" s="282" t="s">
        <v>180</v>
      </c>
      <c r="D29" s="227">
        <f>'таблица (всего)'!D164</f>
        <v>0</v>
      </c>
      <c r="E29" s="227">
        <f>'таблица (всего)'!E164</f>
        <v>0</v>
      </c>
      <c r="F29" s="227">
        <f>'таблица (всего)'!F164</f>
        <v>3395073</v>
      </c>
      <c r="G29" s="227">
        <f>'таблица (всего)'!G164</f>
        <v>3395073</v>
      </c>
      <c r="H29" s="227">
        <f>'таблица (всего)'!H164</f>
        <v>3395073</v>
      </c>
      <c r="I29" s="227">
        <f>'таблица (всего)'!I164</f>
        <v>3395073</v>
      </c>
      <c r="J29" s="227">
        <f>'таблица (всего)'!J164</f>
        <v>3395073</v>
      </c>
    </row>
  </sheetData>
  <mergeCells count="39">
    <mergeCell ref="J25:J26"/>
    <mergeCell ref="A23:J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A22:J22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I21:J21"/>
    <mergeCell ref="A15:J15"/>
    <mergeCell ref="I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I13:J13"/>
    <mergeCell ref="A14:J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6"/>
  <sheetViews>
    <sheetView zoomScale="90" zoomScaleNormal="90" workbookViewId="0">
      <selection activeCell="I22" sqref="I22"/>
    </sheetView>
  </sheetViews>
  <sheetFormatPr defaultRowHeight="15" x14ac:dyDescent="0.25"/>
  <cols>
    <col min="1" max="1" width="6.28515625" style="284" customWidth="1"/>
    <col min="2" max="2" width="27.28515625" style="284" customWidth="1"/>
    <col min="3" max="3" width="17.5703125" style="284" customWidth="1"/>
    <col min="4" max="4" width="9.140625" style="284"/>
    <col min="5" max="11" width="18.140625" style="284" customWidth="1"/>
  </cols>
  <sheetData>
    <row r="1" spans="1:18" ht="174.75" customHeight="1" x14ac:dyDescent="0.25">
      <c r="A1" s="276"/>
      <c r="B1" s="277"/>
      <c r="C1" s="276"/>
      <c r="D1" s="278"/>
      <c r="E1" s="278"/>
      <c r="F1" s="278"/>
      <c r="I1" s="278"/>
      <c r="J1" s="1086" t="s">
        <v>291</v>
      </c>
      <c r="K1" s="1086"/>
    </row>
    <row r="2" spans="1:18" ht="18.75" customHeight="1" x14ac:dyDescent="0.25">
      <c r="A2" s="1087" t="s">
        <v>290</v>
      </c>
      <c r="B2" s="1087"/>
      <c r="C2" s="1087"/>
      <c r="D2" s="1087"/>
      <c r="E2" s="1087"/>
      <c r="F2" s="1087"/>
      <c r="G2" s="1087"/>
      <c r="H2" s="1087"/>
      <c r="I2" s="1087"/>
      <c r="J2" s="1087"/>
      <c r="K2" s="1087"/>
    </row>
    <row r="3" spans="1:18" ht="18.75" x14ac:dyDescent="0.25">
      <c r="A3" s="280"/>
      <c r="B3" s="280"/>
      <c r="C3" s="280"/>
      <c r="D3" s="280"/>
      <c r="E3" s="280"/>
      <c r="F3" s="280"/>
      <c r="G3" s="280"/>
      <c r="I3" s="280"/>
      <c r="J3" s="280"/>
      <c r="K3" s="79" t="s">
        <v>172</v>
      </c>
    </row>
    <row r="4" spans="1:18" ht="38.25" x14ac:dyDescent="0.25">
      <c r="A4" s="283" t="s">
        <v>245</v>
      </c>
      <c r="B4" s="283" t="s">
        <v>266</v>
      </c>
      <c r="C4" s="283" t="s">
        <v>175</v>
      </c>
      <c r="D4" s="283" t="s">
        <v>288</v>
      </c>
      <c r="E4" s="283">
        <v>2014</v>
      </c>
      <c r="F4" s="283">
        <v>2015</v>
      </c>
      <c r="G4" s="283">
        <v>2016</v>
      </c>
      <c r="H4" s="283">
        <v>2017</v>
      </c>
      <c r="I4" s="283">
        <v>2018</v>
      </c>
      <c r="J4" s="283">
        <v>2019</v>
      </c>
      <c r="K4" s="283">
        <v>2020</v>
      </c>
    </row>
    <row r="5" spans="1:18" ht="51" x14ac:dyDescent="0.25">
      <c r="A5" s="223" t="s">
        <v>231</v>
      </c>
      <c r="B5" s="279" t="s">
        <v>289</v>
      </c>
      <c r="C5" s="281"/>
      <c r="D5" s="281"/>
      <c r="E5" s="281"/>
      <c r="F5" s="281"/>
      <c r="G5" s="281"/>
      <c r="H5" s="281"/>
      <c r="I5" s="281"/>
      <c r="J5" s="281"/>
      <c r="K5" s="281"/>
    </row>
    <row r="6" spans="1:18" ht="38.25" x14ac:dyDescent="0.25">
      <c r="A6" s="285" t="s">
        <v>240</v>
      </c>
      <c r="B6" s="223"/>
      <c r="C6" s="279" t="s">
        <v>180</v>
      </c>
      <c r="D6" s="223" t="s">
        <v>292</v>
      </c>
      <c r="E6" s="286">
        <f>'таблица (всего)'!D180</f>
        <v>45327400</v>
      </c>
      <c r="F6" s="286">
        <f>'таблица (всего)'!E180</f>
        <v>38825812.460000001</v>
      </c>
      <c r="G6" s="286">
        <f>'таблица (всего)'!F180</f>
        <v>37377585.719999999</v>
      </c>
      <c r="H6" s="286">
        <f>'таблица (всего)'!G180</f>
        <v>34939085.729999997</v>
      </c>
      <c r="I6" s="286">
        <f>'таблица (всего)'!H180</f>
        <v>34939085.729999997</v>
      </c>
      <c r="J6" s="286">
        <f>'таблица (всего)'!I180</f>
        <v>34939085.729999997</v>
      </c>
      <c r="K6" s="286">
        <f>'таблица (всего)'!J180</f>
        <v>34939085.729999997</v>
      </c>
      <c r="L6" s="243">
        <f>E6-'таблица (всего)'!D180</f>
        <v>0</v>
      </c>
      <c r="M6" s="243">
        <f>F6-'таблица (всего)'!E180</f>
        <v>0</v>
      </c>
      <c r="N6" s="243">
        <f>G6-'таблица (всего)'!F180</f>
        <v>0</v>
      </c>
      <c r="O6" s="243">
        <f>H6-'таблица (всего)'!G180</f>
        <v>0</v>
      </c>
      <c r="P6" s="243">
        <f>I6-'таблица (всего)'!H180</f>
        <v>0</v>
      </c>
      <c r="Q6" s="243">
        <f>J6-'таблица (всего)'!I180</f>
        <v>0</v>
      </c>
      <c r="R6" s="243">
        <f>K6-'таблица (всего)'!J180</f>
        <v>0</v>
      </c>
    </row>
  </sheetData>
  <mergeCells count="2">
    <mergeCell ref="J1:K1"/>
    <mergeCell ref="A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5"/>
  <sheetViews>
    <sheetView topLeftCell="A10" workbookViewId="0">
      <selection activeCell="L9" sqref="L9"/>
    </sheetView>
  </sheetViews>
  <sheetFormatPr defaultRowHeight="15" x14ac:dyDescent="0.25"/>
  <cols>
    <col min="2" max="2" width="27.42578125" customWidth="1"/>
    <col min="3" max="3" width="15.5703125" customWidth="1"/>
    <col min="4" max="10" width="18.140625" customWidth="1"/>
    <col min="11" max="17" width="12.5703125" bestFit="1" customWidth="1"/>
  </cols>
  <sheetData>
    <row r="1" spans="1:17" ht="47.25" customHeight="1" x14ac:dyDescent="0.25">
      <c r="A1" s="276"/>
      <c r="B1" s="277"/>
      <c r="C1" s="276"/>
      <c r="D1" s="278"/>
      <c r="E1" s="278"/>
      <c r="F1" s="278"/>
      <c r="G1" s="284"/>
      <c r="H1" s="284"/>
      <c r="I1" s="1087" t="s">
        <v>299</v>
      </c>
      <c r="J1" s="1087"/>
    </row>
    <row r="2" spans="1:17" ht="18.75" customHeight="1" x14ac:dyDescent="0.25">
      <c r="A2" s="1087" t="s">
        <v>297</v>
      </c>
      <c r="B2" s="1087"/>
      <c r="C2" s="1087"/>
      <c r="D2" s="1087"/>
      <c r="E2" s="1087"/>
      <c r="F2" s="1087"/>
      <c r="G2" s="1087"/>
      <c r="H2" s="1087"/>
      <c r="I2" s="1087"/>
      <c r="J2" s="1087"/>
      <c r="K2" s="218"/>
    </row>
    <row r="3" spans="1:17" ht="18.75" x14ac:dyDescent="0.25">
      <c r="J3" s="79" t="s">
        <v>172</v>
      </c>
    </row>
    <row r="4" spans="1:17" ht="35.25" customHeight="1" x14ac:dyDescent="0.25">
      <c r="A4" s="1099" t="s">
        <v>245</v>
      </c>
      <c r="B4" s="1099" t="s">
        <v>293</v>
      </c>
      <c r="C4" s="1099" t="s">
        <v>175</v>
      </c>
      <c r="D4" s="1099">
        <v>2014</v>
      </c>
      <c r="E4" s="1099">
        <v>2015</v>
      </c>
      <c r="F4" s="1099">
        <v>2016</v>
      </c>
      <c r="G4" s="1099">
        <v>2017</v>
      </c>
      <c r="H4" s="1099">
        <v>2018</v>
      </c>
      <c r="I4" s="1099">
        <v>2019</v>
      </c>
      <c r="J4" s="1099">
        <v>2020</v>
      </c>
    </row>
    <row r="5" spans="1:17" x14ac:dyDescent="0.25">
      <c r="A5" s="1099"/>
      <c r="B5" s="1099"/>
      <c r="C5" s="1099"/>
      <c r="D5" s="1099"/>
      <c r="E5" s="1099"/>
      <c r="F5" s="1099"/>
      <c r="G5" s="1099"/>
      <c r="H5" s="1099"/>
      <c r="I5" s="1099"/>
      <c r="J5" s="1099"/>
    </row>
    <row r="6" spans="1:17" ht="42" customHeight="1" x14ac:dyDescent="0.25">
      <c r="A6" s="1100" t="s">
        <v>294</v>
      </c>
      <c r="B6" s="282" t="s">
        <v>295</v>
      </c>
      <c r="C6" s="1095" t="s">
        <v>180</v>
      </c>
      <c r="D6" s="227">
        <f>D7</f>
        <v>31742200</v>
      </c>
      <c r="E6" s="227">
        <f t="shared" ref="E6:J6" si="0">E7</f>
        <v>32245329.760000002</v>
      </c>
      <c r="F6" s="227">
        <f t="shared" si="0"/>
        <v>28600000</v>
      </c>
      <c r="G6" s="227">
        <f t="shared" si="0"/>
        <v>28600000</v>
      </c>
      <c r="H6" s="227">
        <f t="shared" si="0"/>
        <v>28600000</v>
      </c>
      <c r="I6" s="227">
        <f t="shared" si="0"/>
        <v>28600000</v>
      </c>
      <c r="J6" s="227">
        <f t="shared" si="0"/>
        <v>28600000</v>
      </c>
      <c r="K6" s="243">
        <f>D6-'таблица (всего)'!D168</f>
        <v>0</v>
      </c>
      <c r="L6" s="243">
        <f>E6-'таблица (всего)'!E168</f>
        <v>0</v>
      </c>
      <c r="M6" s="243">
        <f>F6-'таблица (всего)'!F168</f>
        <v>0</v>
      </c>
      <c r="N6" s="243">
        <f>G6-'таблица (всего)'!G168</f>
        <v>0</v>
      </c>
      <c r="O6" s="243">
        <f>H6-'таблица (всего)'!H168</f>
        <v>0</v>
      </c>
      <c r="P6" s="243">
        <f>I6-'таблица (всего)'!I168</f>
        <v>0</v>
      </c>
      <c r="Q6" s="243">
        <f>J6-'таблица (всего)'!J168</f>
        <v>0</v>
      </c>
    </row>
    <row r="7" spans="1:17" ht="27.75" customHeight="1" x14ac:dyDescent="0.25">
      <c r="A7" s="1100"/>
      <c r="B7" s="282" t="s">
        <v>296</v>
      </c>
      <c r="C7" s="1095"/>
      <c r="D7" s="227">
        <f>D9</f>
        <v>31742200</v>
      </c>
      <c r="E7" s="227">
        <f t="shared" ref="E7:J7" si="1">E9</f>
        <v>32245329.760000002</v>
      </c>
      <c r="F7" s="227">
        <f t="shared" si="1"/>
        <v>28600000</v>
      </c>
      <c r="G7" s="227">
        <f t="shared" si="1"/>
        <v>28600000</v>
      </c>
      <c r="H7" s="227">
        <f t="shared" si="1"/>
        <v>28600000</v>
      </c>
      <c r="I7" s="227">
        <f t="shared" si="1"/>
        <v>28600000</v>
      </c>
      <c r="J7" s="227">
        <f t="shared" si="1"/>
        <v>28600000</v>
      </c>
    </row>
    <row r="8" spans="1:17" ht="18.75" customHeight="1" x14ac:dyDescent="0.25">
      <c r="A8" s="1100"/>
      <c r="B8" s="282" t="s">
        <v>178</v>
      </c>
      <c r="C8" s="1095"/>
      <c r="D8" s="227">
        <v>0</v>
      </c>
      <c r="E8" s="227">
        <v>0</v>
      </c>
      <c r="F8" s="227">
        <v>0</v>
      </c>
      <c r="G8" s="227">
        <v>0</v>
      </c>
      <c r="H8" s="227">
        <v>0</v>
      </c>
      <c r="I8" s="227">
        <v>0</v>
      </c>
      <c r="J8" s="227">
        <v>0</v>
      </c>
    </row>
    <row r="9" spans="1:17" ht="19.5" customHeight="1" x14ac:dyDescent="0.25">
      <c r="A9" s="1100"/>
      <c r="B9" s="282" t="s">
        <v>177</v>
      </c>
      <c r="C9" s="1095"/>
      <c r="D9" s="227">
        <f>'таблица (всего)'!D168</f>
        <v>31742200</v>
      </c>
      <c r="E9" s="227">
        <f>'таблица (всего)'!E168</f>
        <v>32245329.760000002</v>
      </c>
      <c r="F9" s="227">
        <f>'таблица (всего)'!F168</f>
        <v>28600000</v>
      </c>
      <c r="G9" s="227">
        <f>'таблица (всего)'!G168</f>
        <v>28600000</v>
      </c>
      <c r="H9" s="227">
        <f>'таблица (всего)'!H168</f>
        <v>28600000</v>
      </c>
      <c r="I9" s="227">
        <f>'таблица (всего)'!I168</f>
        <v>28600000</v>
      </c>
      <c r="J9" s="227">
        <f>'таблица (всего)'!J168</f>
        <v>28600000</v>
      </c>
    </row>
    <row r="11" spans="1:17" ht="48.75" customHeight="1" x14ac:dyDescent="0.25">
      <c r="I11" s="1087" t="s">
        <v>300</v>
      </c>
      <c r="J11" s="1087"/>
    </row>
    <row r="12" spans="1:17" ht="15.75" customHeight="1" x14ac:dyDescent="0.3">
      <c r="A12" s="1101" t="s">
        <v>301</v>
      </c>
      <c r="B12" s="1101"/>
      <c r="C12" s="1101"/>
      <c r="D12" s="1101"/>
      <c r="E12" s="1101"/>
      <c r="F12" s="1101"/>
      <c r="G12" s="1101"/>
      <c r="H12" s="1101"/>
      <c r="I12" s="1101"/>
      <c r="J12" s="1101"/>
      <c r="K12" s="288"/>
    </row>
    <row r="13" spans="1:17" ht="18.75" x14ac:dyDescent="0.25">
      <c r="J13" s="79" t="s">
        <v>172</v>
      </c>
    </row>
    <row r="14" spans="1:17" x14ac:dyDescent="0.25">
      <c r="A14" s="1099" t="s">
        <v>245</v>
      </c>
      <c r="B14" s="1099" t="s">
        <v>293</v>
      </c>
      <c r="C14" s="1099" t="s">
        <v>175</v>
      </c>
      <c r="D14" s="1099">
        <v>2014</v>
      </c>
      <c r="E14" s="1099">
        <v>2015</v>
      </c>
      <c r="F14" s="1099">
        <v>2016</v>
      </c>
      <c r="G14" s="1099">
        <v>2017</v>
      </c>
      <c r="H14" s="1099">
        <v>2018</v>
      </c>
      <c r="I14" s="1099">
        <v>2019</v>
      </c>
      <c r="J14" s="1099">
        <v>2020</v>
      </c>
    </row>
    <row r="15" spans="1:17" x14ac:dyDescent="0.25">
      <c r="A15" s="1099"/>
      <c r="B15" s="1099"/>
      <c r="C15" s="1099"/>
      <c r="D15" s="1099"/>
      <c r="E15" s="1099"/>
      <c r="F15" s="1099"/>
      <c r="G15" s="1099"/>
      <c r="H15" s="1099"/>
      <c r="I15" s="1099"/>
      <c r="J15" s="1099"/>
    </row>
    <row r="16" spans="1:17" ht="76.5" x14ac:dyDescent="0.25">
      <c r="A16" s="1102" t="s">
        <v>236</v>
      </c>
      <c r="B16" s="282" t="s">
        <v>26</v>
      </c>
      <c r="C16" s="1105" t="s">
        <v>180</v>
      </c>
      <c r="D16" s="227">
        <f>D17+D20</f>
        <v>1150000</v>
      </c>
      <c r="E16" s="227">
        <f t="shared" ref="E16:J16" si="2">E17+E20</f>
        <v>0</v>
      </c>
      <c r="F16" s="227">
        <f t="shared" si="2"/>
        <v>0</v>
      </c>
      <c r="G16" s="227">
        <f t="shared" si="2"/>
        <v>0</v>
      </c>
      <c r="H16" s="227">
        <f t="shared" si="2"/>
        <v>0</v>
      </c>
      <c r="I16" s="227">
        <f t="shared" si="2"/>
        <v>0</v>
      </c>
      <c r="J16" s="227">
        <f t="shared" si="2"/>
        <v>0</v>
      </c>
      <c r="K16" s="243">
        <f>D16-'таблица (всего)'!D171</f>
        <v>0</v>
      </c>
      <c r="L16" s="243">
        <f>E16-'таблица (всего)'!E171</f>
        <v>0</v>
      </c>
      <c r="M16" s="243">
        <f>F16-'таблица (всего)'!F171</f>
        <v>0</v>
      </c>
      <c r="N16" s="243">
        <f>G16-'таблица (всего)'!G171</f>
        <v>0</v>
      </c>
      <c r="O16" s="243">
        <f>H16-'таблица (всего)'!H171</f>
        <v>0</v>
      </c>
      <c r="P16" s="243">
        <f>I16-'таблица (всего)'!I171</f>
        <v>0</v>
      </c>
      <c r="Q16" s="243">
        <f>J16-'таблица (всего)'!J171</f>
        <v>0</v>
      </c>
    </row>
    <row r="17" spans="1:17" ht="25.5" x14ac:dyDescent="0.25">
      <c r="A17" s="1103"/>
      <c r="B17" s="282" t="s">
        <v>296</v>
      </c>
      <c r="C17" s="1106"/>
      <c r="D17" s="227">
        <f>D18+D19</f>
        <v>1150000</v>
      </c>
      <c r="E17" s="227">
        <f t="shared" ref="E17:J17" si="3">E18+E19</f>
        <v>0</v>
      </c>
      <c r="F17" s="227">
        <f t="shared" si="3"/>
        <v>0</v>
      </c>
      <c r="G17" s="227">
        <f t="shared" si="3"/>
        <v>0</v>
      </c>
      <c r="H17" s="227">
        <f t="shared" si="3"/>
        <v>0</v>
      </c>
      <c r="I17" s="227">
        <f t="shared" si="3"/>
        <v>0</v>
      </c>
      <c r="J17" s="227">
        <f t="shared" si="3"/>
        <v>0</v>
      </c>
      <c r="K17" s="244"/>
      <c r="L17" s="244"/>
      <c r="M17" s="244"/>
      <c r="N17" s="244"/>
      <c r="O17" s="244"/>
      <c r="P17" s="244"/>
      <c r="Q17" s="244"/>
    </row>
    <row r="18" spans="1:17" x14ac:dyDescent="0.25">
      <c r="A18" s="1103"/>
      <c r="B18" s="282" t="s">
        <v>178</v>
      </c>
      <c r="C18" s="1106"/>
      <c r="D18" s="227">
        <v>0</v>
      </c>
      <c r="E18" s="227">
        <v>0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44"/>
      <c r="L18" s="244"/>
      <c r="M18" s="244"/>
      <c r="N18" s="244"/>
      <c r="O18" s="244"/>
      <c r="P18" s="244"/>
      <c r="Q18" s="244"/>
    </row>
    <row r="19" spans="1:17" x14ac:dyDescent="0.25">
      <c r="A19" s="1103"/>
      <c r="B19" s="282" t="s">
        <v>177</v>
      </c>
      <c r="C19" s="1106"/>
      <c r="D19" s="227">
        <f>'таблица (всего)'!D171</f>
        <v>1150000</v>
      </c>
      <c r="E19" s="227">
        <f>'таблица (всего)'!E171</f>
        <v>0</v>
      </c>
      <c r="F19" s="227">
        <f>'таблица (всего)'!F171</f>
        <v>0</v>
      </c>
      <c r="G19" s="227">
        <f>'таблица (всего)'!G171</f>
        <v>0</v>
      </c>
      <c r="H19" s="227">
        <f>'таблица (всего)'!H171</f>
        <v>0</v>
      </c>
      <c r="I19" s="227">
        <f>'таблица (всего)'!I171</f>
        <v>0</v>
      </c>
      <c r="J19" s="227">
        <f>'таблица (всего)'!J171</f>
        <v>0</v>
      </c>
      <c r="K19" s="244"/>
      <c r="L19" s="244"/>
      <c r="M19" s="244"/>
      <c r="N19" s="244"/>
      <c r="O19" s="244"/>
      <c r="P19" s="244"/>
      <c r="Q19" s="244"/>
    </row>
    <row r="20" spans="1:17" ht="18" customHeight="1" x14ac:dyDescent="0.25">
      <c r="A20" s="1104"/>
      <c r="B20" s="282" t="s">
        <v>298</v>
      </c>
      <c r="C20" s="1107"/>
      <c r="D20" s="287">
        <v>0</v>
      </c>
      <c r="E20" s="287">
        <v>0</v>
      </c>
      <c r="F20" s="287">
        <v>0</v>
      </c>
      <c r="G20" s="287">
        <v>0</v>
      </c>
      <c r="H20" s="287">
        <v>0</v>
      </c>
      <c r="I20" s="287">
        <v>0</v>
      </c>
      <c r="J20" s="287">
        <v>0</v>
      </c>
      <c r="K20" s="244"/>
      <c r="L20" s="244"/>
      <c r="M20" s="244"/>
      <c r="N20" s="244"/>
      <c r="O20" s="244"/>
      <c r="P20" s="244"/>
      <c r="Q20" s="244"/>
    </row>
    <row r="21" spans="1:17" ht="96" customHeight="1" x14ac:dyDescent="0.25">
      <c r="A21" s="1102" t="s">
        <v>238</v>
      </c>
      <c r="B21" s="282" t="s">
        <v>302</v>
      </c>
      <c r="C21" s="1105" t="s">
        <v>180</v>
      </c>
      <c r="D21" s="227">
        <f>D22+D25</f>
        <v>0</v>
      </c>
      <c r="E21" s="227">
        <f t="shared" ref="E21:J21" si="4">E22+E25</f>
        <v>0</v>
      </c>
      <c r="F21" s="227">
        <f t="shared" si="4"/>
        <v>1500000</v>
      </c>
      <c r="G21" s="227">
        <f t="shared" si="4"/>
        <v>0</v>
      </c>
      <c r="H21" s="227">
        <f t="shared" si="4"/>
        <v>0</v>
      </c>
      <c r="I21" s="227">
        <f t="shared" si="4"/>
        <v>0</v>
      </c>
      <c r="J21" s="227">
        <f t="shared" si="4"/>
        <v>0</v>
      </c>
      <c r="K21" s="243">
        <f>D21-'таблица (всего)'!D172</f>
        <v>0</v>
      </c>
      <c r="L21" s="243">
        <f>E21-'таблица (всего)'!E172</f>
        <v>0</v>
      </c>
      <c r="M21" s="243">
        <f>F21-'таблица (всего)'!F172</f>
        <v>0</v>
      </c>
      <c r="N21" s="243">
        <f>G21-'таблица (всего)'!G172</f>
        <v>0</v>
      </c>
      <c r="O21" s="243">
        <f>H21-'таблица (всего)'!H172</f>
        <v>0</v>
      </c>
      <c r="P21" s="243">
        <f>I21-'таблица (всего)'!I172</f>
        <v>0</v>
      </c>
      <c r="Q21" s="243">
        <f>J21-'таблица (всего)'!J172</f>
        <v>0</v>
      </c>
    </row>
    <row r="22" spans="1:17" ht="25.5" x14ac:dyDescent="0.25">
      <c r="A22" s="1103"/>
      <c r="B22" s="282" t="s">
        <v>296</v>
      </c>
      <c r="C22" s="1106"/>
      <c r="D22" s="227">
        <f>D23+D24</f>
        <v>0</v>
      </c>
      <c r="E22" s="227">
        <f t="shared" ref="E22:J22" si="5">E23+E24</f>
        <v>0</v>
      </c>
      <c r="F22" s="227">
        <f t="shared" si="5"/>
        <v>1500000</v>
      </c>
      <c r="G22" s="227">
        <f t="shared" si="5"/>
        <v>0</v>
      </c>
      <c r="H22" s="227">
        <f t="shared" si="5"/>
        <v>0</v>
      </c>
      <c r="I22" s="227">
        <f t="shared" si="5"/>
        <v>0</v>
      </c>
      <c r="J22" s="227">
        <f t="shared" si="5"/>
        <v>0</v>
      </c>
    </row>
    <row r="23" spans="1:17" x14ac:dyDescent="0.25">
      <c r="A23" s="1103"/>
      <c r="B23" s="282" t="s">
        <v>178</v>
      </c>
      <c r="C23" s="1106"/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</row>
    <row r="24" spans="1:17" x14ac:dyDescent="0.25">
      <c r="A24" s="1103"/>
      <c r="B24" s="282" t="s">
        <v>177</v>
      </c>
      <c r="C24" s="1106"/>
      <c r="D24" s="227">
        <f>'таблица (всего)'!D172</f>
        <v>0</v>
      </c>
      <c r="E24" s="227">
        <f>'таблица (всего)'!E172</f>
        <v>0</v>
      </c>
      <c r="F24" s="227">
        <f>'таблица (всего)'!F172</f>
        <v>1500000</v>
      </c>
      <c r="G24" s="227">
        <f>'таблица (всего)'!G172</f>
        <v>0</v>
      </c>
      <c r="H24" s="227">
        <f>'таблица (всего)'!H172</f>
        <v>0</v>
      </c>
      <c r="I24" s="227">
        <f>'таблица (всего)'!I172</f>
        <v>0</v>
      </c>
      <c r="J24" s="227">
        <f>'таблица (всего)'!J172</f>
        <v>0</v>
      </c>
    </row>
    <row r="25" spans="1:17" ht="18" customHeight="1" x14ac:dyDescent="0.25">
      <c r="A25" s="1104"/>
      <c r="B25" s="282" t="s">
        <v>298</v>
      </c>
      <c r="C25" s="1107"/>
      <c r="D25" s="287">
        <v>0</v>
      </c>
      <c r="E25" s="287">
        <v>0</v>
      </c>
      <c r="F25" s="287">
        <v>0</v>
      </c>
      <c r="G25" s="287">
        <v>0</v>
      </c>
      <c r="H25" s="287">
        <v>0</v>
      </c>
      <c r="I25" s="287">
        <v>0</v>
      </c>
      <c r="J25" s="287">
        <v>0</v>
      </c>
    </row>
  </sheetData>
  <mergeCells count="30">
    <mergeCell ref="I11:J11"/>
    <mergeCell ref="A12:J12"/>
    <mergeCell ref="A21:A25"/>
    <mergeCell ref="C21:C25"/>
    <mergeCell ref="A2:J2"/>
    <mergeCell ref="H14:H15"/>
    <mergeCell ref="I14:I15"/>
    <mergeCell ref="J14:J15"/>
    <mergeCell ref="A16:A20"/>
    <mergeCell ref="C16:C20"/>
    <mergeCell ref="C4:C5"/>
    <mergeCell ref="D4:D5"/>
    <mergeCell ref="E4:E5"/>
    <mergeCell ref="F4:F5"/>
    <mergeCell ref="I1:J1"/>
    <mergeCell ref="A14:A15"/>
    <mergeCell ref="B14:B15"/>
    <mergeCell ref="C14:C15"/>
    <mergeCell ref="D14:D15"/>
    <mergeCell ref="E14:E15"/>
    <mergeCell ref="F14:F15"/>
    <mergeCell ref="G14:G15"/>
    <mergeCell ref="G4:G5"/>
    <mergeCell ref="A6:A9"/>
    <mergeCell ref="C6:C9"/>
    <mergeCell ref="H4:H5"/>
    <mergeCell ref="I4:I5"/>
    <mergeCell ref="J4:J5"/>
    <mergeCell ref="A4:A5"/>
    <mergeCell ref="B4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7"/>
  <sheetViews>
    <sheetView workbookViewId="0">
      <selection activeCell="H11" sqref="H11"/>
    </sheetView>
  </sheetViews>
  <sheetFormatPr defaultRowHeight="15" x14ac:dyDescent="0.25"/>
  <cols>
    <col min="2" max="2" width="27.7109375" customWidth="1"/>
    <col min="3" max="10" width="18.140625" customWidth="1"/>
  </cols>
  <sheetData>
    <row r="1" spans="1:17" ht="143.25" customHeight="1" x14ac:dyDescent="0.25">
      <c r="A1" s="276"/>
      <c r="B1" s="277"/>
      <c r="C1" s="276"/>
      <c r="D1" s="278"/>
      <c r="E1" s="278"/>
      <c r="F1" s="278"/>
      <c r="G1" s="284"/>
      <c r="H1" s="284"/>
      <c r="I1" s="1086" t="s">
        <v>304</v>
      </c>
      <c r="J1" s="1086"/>
    </row>
    <row r="2" spans="1:17" ht="18.75" x14ac:dyDescent="0.25">
      <c r="A2" s="1087" t="s">
        <v>305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customHeight="1" x14ac:dyDescent="0.25">
      <c r="A3" s="1087" t="s">
        <v>303</v>
      </c>
      <c r="B3" s="1087"/>
      <c r="C3" s="1087"/>
      <c r="D3" s="1087"/>
      <c r="E3" s="1087"/>
      <c r="F3" s="1087"/>
      <c r="G3" s="1087"/>
      <c r="H3" s="1087"/>
      <c r="I3" s="1087"/>
      <c r="J3" s="1087"/>
    </row>
    <row r="4" spans="1:17" ht="18.75" x14ac:dyDescent="0.25">
      <c r="A4" s="289"/>
      <c r="J4" s="79" t="s">
        <v>172</v>
      </c>
    </row>
    <row r="5" spans="1:17" x14ac:dyDescent="0.25">
      <c r="A5" s="1099" t="s">
        <v>245</v>
      </c>
      <c r="B5" s="1099" t="s">
        <v>293</v>
      </c>
      <c r="C5" s="1099" t="s">
        <v>175</v>
      </c>
      <c r="D5" s="1099">
        <v>2014</v>
      </c>
      <c r="E5" s="1099">
        <v>2015</v>
      </c>
      <c r="F5" s="1099">
        <v>2016</v>
      </c>
      <c r="G5" s="1099">
        <v>2017</v>
      </c>
      <c r="H5" s="1099">
        <v>2018</v>
      </c>
      <c r="I5" s="1099">
        <v>2019</v>
      </c>
      <c r="J5" s="1099">
        <v>2020</v>
      </c>
    </row>
    <row r="6" spans="1:17" x14ac:dyDescent="0.25">
      <c r="A6" s="1099"/>
      <c r="B6" s="1099"/>
      <c r="C6" s="1099"/>
      <c r="D6" s="1099"/>
      <c r="E6" s="1099"/>
      <c r="F6" s="1099"/>
      <c r="G6" s="1099"/>
      <c r="H6" s="1099"/>
      <c r="I6" s="1099"/>
      <c r="J6" s="1099"/>
    </row>
    <row r="7" spans="1:17" ht="57" customHeight="1" x14ac:dyDescent="0.25">
      <c r="A7" s="223" t="s">
        <v>229</v>
      </c>
      <c r="B7" s="282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C7" s="282" t="s">
        <v>180</v>
      </c>
      <c r="D7" s="227">
        <f>'таблица (всего)'!D176</f>
        <v>564700</v>
      </c>
      <c r="E7" s="227">
        <f>'таблица (всего)'!E176</f>
        <v>503965</v>
      </c>
      <c r="F7" s="227">
        <f>'таблица (всего)'!F176</f>
        <v>503965</v>
      </c>
      <c r="G7" s="227">
        <f>'таблица (всего)'!G176</f>
        <v>503965</v>
      </c>
      <c r="H7" s="227">
        <f>'таблица (всего)'!H176</f>
        <v>503965</v>
      </c>
      <c r="I7" s="227">
        <f>'таблица (всего)'!I176</f>
        <v>503965</v>
      </c>
      <c r="J7" s="227">
        <f>'таблица (всего)'!J176</f>
        <v>503965</v>
      </c>
      <c r="K7" s="243">
        <f>D7-'таблица (всего)'!D176</f>
        <v>0</v>
      </c>
      <c r="L7" s="243">
        <f>E7-'таблица (всего)'!E176</f>
        <v>0</v>
      </c>
      <c r="M7" s="243">
        <f>F7-'таблица (всего)'!F176</f>
        <v>0</v>
      </c>
      <c r="N7" s="243">
        <f>G7-'таблица (всего)'!G176</f>
        <v>0</v>
      </c>
      <c r="O7" s="243">
        <f>H7-'таблица (всего)'!H176</f>
        <v>0</v>
      </c>
      <c r="P7" s="243">
        <f>I7-'таблица (всего)'!I176</f>
        <v>0</v>
      </c>
      <c r="Q7" s="243">
        <f>J7-'таблица (всего)'!J176</f>
        <v>0</v>
      </c>
    </row>
  </sheetData>
  <mergeCells count="13">
    <mergeCell ref="I5:I6"/>
    <mergeCell ref="J5:J6"/>
    <mergeCell ref="A3:J3"/>
    <mergeCell ref="I1:J1"/>
    <mergeCell ref="A2:J2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1"/>
  <sheetViews>
    <sheetView view="pageBreakPreview" zoomScaleNormal="100" zoomScaleSheetLayoutView="100" workbookViewId="0">
      <selection activeCell="A65" sqref="A65:C65"/>
    </sheetView>
  </sheetViews>
  <sheetFormatPr defaultRowHeight="15" x14ac:dyDescent="0.25"/>
  <cols>
    <col min="1" max="1" width="24.42578125" style="2" customWidth="1"/>
    <col min="2" max="2" width="14.85546875" style="44" customWidth="1"/>
    <col min="3" max="3" width="56.28515625" style="4" customWidth="1"/>
    <col min="4" max="5" width="16.5703125" style="105" hidden="1" customWidth="1"/>
    <col min="6" max="6" width="16" style="217" hidden="1" customWidth="1"/>
    <col min="7" max="10" width="16" style="217" customWidth="1"/>
    <col min="11" max="11" width="18.42578125" style="6" customWidth="1"/>
    <col min="12" max="22" width="16.28515625" customWidth="1"/>
  </cols>
  <sheetData>
    <row r="1" spans="1:22" ht="32.25" customHeight="1" thickBot="1" x14ac:dyDescent="0.3">
      <c r="A1" s="9" t="s">
        <v>0</v>
      </c>
      <c r="B1" s="9" t="s">
        <v>99</v>
      </c>
      <c r="C1" s="11" t="s">
        <v>160</v>
      </c>
      <c r="D1" s="122">
        <v>2014</v>
      </c>
      <c r="E1" s="123">
        <v>2015</v>
      </c>
      <c r="F1" s="190">
        <v>2016</v>
      </c>
      <c r="G1" s="667">
        <v>2017</v>
      </c>
      <c r="H1" s="667">
        <v>2018</v>
      </c>
      <c r="I1" s="667">
        <v>2019</v>
      </c>
      <c r="J1" s="668">
        <v>2020</v>
      </c>
      <c r="K1" s="15" t="s">
        <v>1</v>
      </c>
    </row>
    <row r="2" spans="1:22" s="3" customFormat="1" ht="12.75" customHeight="1" thickBot="1" x14ac:dyDescent="0.25">
      <c r="A2" s="10">
        <v>1</v>
      </c>
      <c r="B2" s="12">
        <v>2</v>
      </c>
      <c r="C2" s="71">
        <v>2</v>
      </c>
      <c r="D2" s="120">
        <v>3</v>
      </c>
      <c r="E2" s="121">
        <v>4</v>
      </c>
      <c r="F2" s="191">
        <v>5</v>
      </c>
      <c r="G2" s="669">
        <v>6</v>
      </c>
      <c r="H2" s="669">
        <v>7</v>
      </c>
      <c r="I2" s="669">
        <v>8</v>
      </c>
      <c r="J2" s="670">
        <v>9</v>
      </c>
      <c r="K2" s="16">
        <v>10</v>
      </c>
    </row>
    <row r="3" spans="1:22" s="1" customFormat="1" ht="29.25" customHeight="1" thickBot="1" x14ac:dyDescent="0.3">
      <c r="A3" s="1062" t="s">
        <v>65</v>
      </c>
      <c r="B3" s="1065"/>
      <c r="C3" s="13" t="s">
        <v>163</v>
      </c>
      <c r="D3" s="81">
        <f>D4+D9</f>
        <v>13593092033.76</v>
      </c>
      <c r="E3" s="137">
        <f t="shared" ref="E3:J3" si="0">E4+E9</f>
        <v>14799453930.66</v>
      </c>
      <c r="F3" s="450">
        <f t="shared" si="0"/>
        <v>14236337661.650002</v>
      </c>
      <c r="G3" s="450">
        <f t="shared" si="0"/>
        <v>14396649354.700001</v>
      </c>
      <c r="H3" s="450">
        <f t="shared" si="0"/>
        <v>15448116190.700001</v>
      </c>
      <c r="I3" s="450">
        <f t="shared" si="0"/>
        <v>15985798714.290001</v>
      </c>
      <c r="J3" s="671">
        <f t="shared" si="0"/>
        <v>15901356014.290001</v>
      </c>
      <c r="K3" s="17">
        <f t="shared" ref="K3:K15" si="1">D3+E3+F3+G3+H3+I3+J3</f>
        <v>104360803900.05002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1" customFormat="1" ht="18" customHeight="1" thickBot="1" x14ac:dyDescent="0.3">
      <c r="A4" s="1063"/>
      <c r="B4" s="1066"/>
      <c r="C4" s="160" t="s">
        <v>225</v>
      </c>
      <c r="D4" s="81">
        <f>D5+D6+D7+D8</f>
        <v>5753664633.7600002</v>
      </c>
      <c r="E4" s="137">
        <f t="shared" ref="E4:J4" si="2">E5+E6+E7+E8</f>
        <v>5819013830.6599998</v>
      </c>
      <c r="F4" s="450">
        <f t="shared" si="2"/>
        <v>5549510761.6500006</v>
      </c>
      <c r="G4" s="450">
        <f t="shared" si="2"/>
        <v>5083065454.6999998</v>
      </c>
      <c r="H4" s="450">
        <f t="shared" si="2"/>
        <v>5078522290.6999998</v>
      </c>
      <c r="I4" s="450">
        <f t="shared" si="2"/>
        <v>5076122314.29</v>
      </c>
      <c r="J4" s="671">
        <f t="shared" si="2"/>
        <v>4991679614.29</v>
      </c>
      <c r="K4" s="17">
        <f t="shared" si="1"/>
        <v>37351578900.050003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1" customFormat="1" ht="15.75" thickBot="1" x14ac:dyDescent="0.3">
      <c r="A5" s="1063"/>
      <c r="B5" s="1066"/>
      <c r="C5" s="267" t="s">
        <v>282</v>
      </c>
      <c r="D5" s="268">
        <f>D20+D21+D35+D36+D37+D54+D56+D58+D63+D64+D126+D131+D133</f>
        <v>857147889.75999999</v>
      </c>
      <c r="E5" s="272">
        <f>E20+E21+E35+E36+E37+E38+E54+E56+E58+E63+E64+E126+E131+E133+E143-E8</f>
        <v>636866220.17000008</v>
      </c>
      <c r="F5" s="451">
        <f>F20+F21+F35+F36+F37+F38+F54+F56+F58+F63+F64+F66+F126+F131+F133+F143-F8</f>
        <v>466832400</v>
      </c>
      <c r="G5" s="451">
        <f>G20+G21+G35+G36+G37+G38+G54+G56+G58+G63+G64+G66+G126+G131+G133+G143-G8</f>
        <v>91080100</v>
      </c>
      <c r="H5" s="451">
        <f>H20+H21+H35+H36+H37+H38+H54+H56+H58+H63+H64+H66+H126+H131+H133+H143-H8</f>
        <v>86275300</v>
      </c>
      <c r="I5" s="451">
        <f>I20+I21+I35+I36+I37+I38+I54+I56+I58+I63+I64+I66+I126+I131+I133+I143-I8</f>
        <v>84442700</v>
      </c>
      <c r="J5" s="451">
        <f>J20+J21+J35+J36+J37+J38+J54+J56+J58+J63+J64+J66+J126+J131+J133+J143-J8</f>
        <v>0</v>
      </c>
      <c r="K5" s="17">
        <f t="shared" si="1"/>
        <v>2222644609.9300003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1" customFormat="1" ht="15.75" thickBot="1" x14ac:dyDescent="0.3">
      <c r="A6" s="1063"/>
      <c r="B6" s="1066"/>
      <c r="C6" s="269" t="s">
        <v>283</v>
      </c>
      <c r="D6" s="268">
        <f>(D14+D15+D16+D17+D18+D19+D22+D23+D24+D29+D30+D33+D31+D40+D41+D43+D48+D49+D50+D51+D52+D53+D55+D61+D62+D72+D78+D79+D80+D85+D86+D88+D89+D91+D93+D95+D97+D98+D103+D104+D106+D107+D108+D110+D111+D112+D113+D115+D120+D132+D134+D135+D136+D141+D142)-100000</f>
        <v>4891416744</v>
      </c>
      <c r="E6" s="272">
        <f>(E14+E15+E16+E17+E18+E19+E22+E23+E24+E29+E30+E33+E31+E40+E41+E43+E48+E49+E50+E51+E52+E53+E55+E61+E62+E72+E78+E79+E80+E85+E86+E88+E89+E91+E93+E95+E97+E98+E103+E104+E106+E107+E108+E110+E111+E112+E113+E115+E120+E132+E134+E135+E136+E141+E142)-100000</f>
        <v>5181547610.4899998</v>
      </c>
      <c r="F6" s="451">
        <f>(F14+F15+F16+F17+F18+F19+F22+F23+F24+F29+F30+F33+F31+F40+F41+F43+F59+F48+F49+F50+F51+F52+F53+F55+F61+F62+F67+F72+F73+F78+F79+F80+F85+F86+F88+F89+F91+F93+F95+F97+F98+F103+F104+F105+F106+F107+F108+F110+F111+F112+F113+F115+F120+F121+F132+F134+F135+F136+F141+F142)-100000</f>
        <v>5081978361.6500006</v>
      </c>
      <c r="G6" s="451">
        <f>(G14+G15+G16+G17+G18+G19+G22+G23+G24+G29+G30+G33+G31+G40+G41+G43+G59+G48+G49+G50+G51+G52+G53+G55+G61+G62+G67+G72+G73+G78+G79+G80+G85+G86+G88+G89+G91+G93+G95+G97+G98+G103+G104+G105+G106+G107+G108+G110+G111+G112+G113+G115+G120+G121+G132+G134+G135+G136+G141+G142)</f>
        <v>4991985354.6999998</v>
      </c>
      <c r="H6" s="451">
        <f>(H14+H15+H16+H17+H18+H19+H22+H23+H24+H29+H30+H33+H31+H40+H41+H43+H59+H48+H49+H50+H51+H52+H53+H55+H61+H62+H67+H72+H73+H78+H79+H80+H85+H86+H88+H89+H91+H93+H95+H97+H98+H103+H104+H105+H106+H107+H108+H110+H111+H112+H113+H115+H120+H121+H132+H134+H135+H136+H141+H142)</f>
        <v>4992246990.6999998</v>
      </c>
      <c r="I6" s="451">
        <f>(I14+I15+I16+I17+I18+I19+I22+I23+I24+I29+I30+I33+I31+I40+I41+I43+I59+I48+I49+I50+I51+I52+I53+I55+I61+I62+I67+I72+I73+I78+I79+I80+I85+I86+I88+I89+I91+I93+I95+I97+I98+I103+I104+I105+I106+I107+I108+I110+I111+I112+I113+I115+I120+I121+I132+I134+I135+I136+I141+I142)</f>
        <v>4991679614.29</v>
      </c>
      <c r="J6" s="451">
        <f>(J14+J15+J16+J17+J18+J19+J22+J23+J24+J29+J30+J33+J31+J40+J41+J43+J59+J48+J49+J50+J51+J52+J53+J55+J61+J62+J67+J72+J73+J78+J79+J80+J85+J86+J88+J89+J91+J93+J95+J97+J98+J103+J104+J105+J106+J107+J108+J110+J111+J112+J113+J115+J120+J121+J132+J134+J135+J136+J141+J142)</f>
        <v>4991679614.29</v>
      </c>
      <c r="K6" s="17">
        <f t="shared" si="1"/>
        <v>35122534290.120003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" customFormat="1" ht="15.75" thickBot="1" x14ac:dyDescent="0.3">
      <c r="A7" s="1063"/>
      <c r="B7" s="1066"/>
      <c r="C7" s="270" t="s">
        <v>281</v>
      </c>
      <c r="D7" s="271">
        <v>100000</v>
      </c>
      <c r="E7" s="273">
        <v>100000</v>
      </c>
      <c r="F7" s="452">
        <v>100000</v>
      </c>
      <c r="G7" s="452">
        <v>0</v>
      </c>
      <c r="H7" s="452">
        <v>0</v>
      </c>
      <c r="I7" s="452">
        <v>0</v>
      </c>
      <c r="J7" s="672">
        <v>0</v>
      </c>
      <c r="K7" s="17">
        <f t="shared" si="1"/>
        <v>300000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" customFormat="1" ht="15.75" thickBot="1" x14ac:dyDescent="0.3">
      <c r="A8" s="1063"/>
      <c r="B8" s="1066"/>
      <c r="C8" s="270" t="s">
        <v>284</v>
      </c>
      <c r="D8" s="268">
        <f>D143</f>
        <v>5000000</v>
      </c>
      <c r="E8" s="272">
        <f t="shared" ref="E8:J8" si="3">E143</f>
        <v>500000</v>
      </c>
      <c r="F8" s="451">
        <f t="shared" si="3"/>
        <v>600000</v>
      </c>
      <c r="G8" s="451">
        <f t="shared" si="3"/>
        <v>0</v>
      </c>
      <c r="H8" s="451">
        <f t="shared" si="3"/>
        <v>0</v>
      </c>
      <c r="I8" s="451">
        <f t="shared" si="3"/>
        <v>0</v>
      </c>
      <c r="J8" s="672">
        <f t="shared" si="3"/>
        <v>0</v>
      </c>
      <c r="K8" s="17">
        <f t="shared" si="1"/>
        <v>6100000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" customFormat="1" ht="26.25" thickBot="1" x14ac:dyDescent="0.3">
      <c r="A9" s="1064"/>
      <c r="B9" s="1067"/>
      <c r="C9" s="266" t="s">
        <v>280</v>
      </c>
      <c r="D9" s="81">
        <f>D144</f>
        <v>7839427400</v>
      </c>
      <c r="E9" s="137">
        <f t="shared" ref="E9:J9" si="4">E144</f>
        <v>8980440100</v>
      </c>
      <c r="F9" s="450">
        <f t="shared" si="4"/>
        <v>8686826900</v>
      </c>
      <c r="G9" s="450">
        <f t="shared" si="4"/>
        <v>9313583900</v>
      </c>
      <c r="H9" s="450">
        <f t="shared" si="4"/>
        <v>10369593900</v>
      </c>
      <c r="I9" s="450">
        <f t="shared" si="4"/>
        <v>10909676400</v>
      </c>
      <c r="J9" s="673">
        <f t="shared" si="4"/>
        <v>10909676400</v>
      </c>
      <c r="K9" s="17">
        <f t="shared" si="1"/>
        <v>67009225000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" customFormat="1" x14ac:dyDescent="0.25">
      <c r="A10" s="1057" t="s">
        <v>4</v>
      </c>
      <c r="B10" s="1036"/>
      <c r="C10" s="448" t="s">
        <v>67</v>
      </c>
      <c r="D10" s="158">
        <f t="shared" ref="D10:J10" si="5">D13</f>
        <v>477677444</v>
      </c>
      <c r="E10" s="158">
        <f t="shared" si="5"/>
        <v>69009464.170000002</v>
      </c>
      <c r="F10" s="192">
        <f t="shared" si="5"/>
        <v>55592475.07</v>
      </c>
      <c r="G10" s="192">
        <f t="shared" si="5"/>
        <v>0</v>
      </c>
      <c r="H10" s="192">
        <f t="shared" si="5"/>
        <v>0</v>
      </c>
      <c r="I10" s="192">
        <f t="shared" si="5"/>
        <v>0</v>
      </c>
      <c r="J10" s="192">
        <f t="shared" si="5"/>
        <v>0</v>
      </c>
      <c r="K10" s="171">
        <f t="shared" si="1"/>
        <v>602279383.24000001</v>
      </c>
    </row>
    <row r="11" spans="1:22" s="1" customFormat="1" x14ac:dyDescent="0.25">
      <c r="A11" s="1058"/>
      <c r="B11" s="1037"/>
      <c r="C11" s="161" t="s">
        <v>161</v>
      </c>
      <c r="D11" s="162">
        <f t="shared" ref="D11:J11" si="6">D20+D21</f>
        <v>331863400</v>
      </c>
      <c r="E11" s="163">
        <f t="shared" si="6"/>
        <v>0</v>
      </c>
      <c r="F11" s="193">
        <f t="shared" si="6"/>
        <v>0</v>
      </c>
      <c r="G11" s="193">
        <f t="shared" si="6"/>
        <v>0</v>
      </c>
      <c r="H11" s="193">
        <f t="shared" si="6"/>
        <v>0</v>
      </c>
      <c r="I11" s="193">
        <f t="shared" si="6"/>
        <v>0</v>
      </c>
      <c r="J11" s="674">
        <f t="shared" si="6"/>
        <v>0</v>
      </c>
      <c r="K11" s="170">
        <f t="shared" si="1"/>
        <v>331863400</v>
      </c>
    </row>
    <row r="12" spans="1:22" s="1" customFormat="1" ht="15.75" thickBot="1" x14ac:dyDescent="0.3">
      <c r="A12" s="1059"/>
      <c r="B12" s="1038"/>
      <c r="C12" s="165" t="s">
        <v>162</v>
      </c>
      <c r="D12" s="166">
        <f t="shared" ref="D12:J12" si="7">D13-D11</f>
        <v>145814044</v>
      </c>
      <c r="E12" s="167">
        <f t="shared" si="7"/>
        <v>69009464.170000002</v>
      </c>
      <c r="F12" s="194">
        <f t="shared" si="7"/>
        <v>55592475.07</v>
      </c>
      <c r="G12" s="194">
        <f t="shared" si="7"/>
        <v>0</v>
      </c>
      <c r="H12" s="194">
        <f t="shared" si="7"/>
        <v>0</v>
      </c>
      <c r="I12" s="194">
        <f t="shared" si="7"/>
        <v>0</v>
      </c>
      <c r="J12" s="675">
        <f t="shared" si="7"/>
        <v>0</v>
      </c>
      <c r="K12" s="168">
        <f t="shared" si="1"/>
        <v>270415983.24000001</v>
      </c>
    </row>
    <row r="13" spans="1:22" s="1" customFormat="1" ht="26.25" thickBot="1" x14ac:dyDescent="0.3">
      <c r="A13" s="19" t="s">
        <v>66</v>
      </c>
      <c r="B13" s="39"/>
      <c r="C13" s="20" t="s">
        <v>68</v>
      </c>
      <c r="D13" s="169">
        <f>D14+D15+D16+D17+D18+D19+D20+D21+D22+D23+D24</f>
        <v>477677444</v>
      </c>
      <c r="E13" s="82">
        <f t="shared" ref="E13:J13" si="8">E14+E15+E16+E17+E18+E19+E20+E21+E22+E23+E24</f>
        <v>69009464.170000002</v>
      </c>
      <c r="F13" s="195">
        <f t="shared" si="8"/>
        <v>55592475.07</v>
      </c>
      <c r="G13" s="195">
        <f t="shared" si="8"/>
        <v>0</v>
      </c>
      <c r="H13" s="195">
        <f t="shared" si="8"/>
        <v>0</v>
      </c>
      <c r="I13" s="195">
        <f t="shared" si="8"/>
        <v>0</v>
      </c>
      <c r="J13" s="676">
        <f t="shared" si="8"/>
        <v>0</v>
      </c>
      <c r="K13" s="157">
        <f t="shared" si="1"/>
        <v>602279383.24000001</v>
      </c>
    </row>
    <row r="14" spans="1:22" ht="25.5" hidden="1" x14ac:dyDescent="0.25">
      <c r="A14" s="1071"/>
      <c r="B14" s="129" t="s">
        <v>100</v>
      </c>
      <c r="C14" s="449" t="s">
        <v>5</v>
      </c>
      <c r="D14" s="132">
        <v>0</v>
      </c>
      <c r="E14" s="83">
        <v>0</v>
      </c>
      <c r="F14" s="196">
        <v>0</v>
      </c>
      <c r="G14" s="196">
        <v>0</v>
      </c>
      <c r="H14" s="196">
        <v>0</v>
      </c>
      <c r="I14" s="196">
        <v>0</v>
      </c>
      <c r="J14" s="563">
        <v>0</v>
      </c>
      <c r="K14" s="18">
        <f t="shared" si="1"/>
        <v>0</v>
      </c>
    </row>
    <row r="15" spans="1:22" x14ac:dyDescent="0.25">
      <c r="A15" s="1071"/>
      <c r="B15" s="131" t="s">
        <v>101</v>
      </c>
      <c r="C15" s="711" t="s">
        <v>6</v>
      </c>
      <c r="D15" s="487">
        <v>98092144</v>
      </c>
      <c r="E15" s="488">
        <v>43073564.170000002</v>
      </c>
      <c r="F15" s="197">
        <f>14581400+900000</f>
        <v>15481400</v>
      </c>
      <c r="G15" s="197">
        <v>0</v>
      </c>
      <c r="H15" s="197">
        <v>0</v>
      </c>
      <c r="I15" s="197">
        <v>0</v>
      </c>
      <c r="J15" s="550">
        <v>0</v>
      </c>
      <c r="K15" s="573">
        <f t="shared" si="1"/>
        <v>156647108.17000002</v>
      </c>
    </row>
    <row r="16" spans="1:22" ht="26.25" thickBot="1" x14ac:dyDescent="0.3">
      <c r="A16" s="1071"/>
      <c r="B16" s="131" t="s">
        <v>102</v>
      </c>
      <c r="C16" s="8" t="s">
        <v>7</v>
      </c>
      <c r="D16" s="501">
        <v>23494200</v>
      </c>
      <c r="E16" s="502">
        <v>21735900</v>
      </c>
      <c r="F16" s="197">
        <f>34080300+9331100-3300324.93</f>
        <v>40111075.07</v>
      </c>
      <c r="G16" s="197">
        <v>0</v>
      </c>
      <c r="H16" s="197">
        <v>0</v>
      </c>
      <c r="I16" s="197">
        <v>0</v>
      </c>
      <c r="J16" s="550">
        <v>0</v>
      </c>
      <c r="K16" s="573">
        <f t="shared" ref="K16:K24" si="9">D16+E16+F16+G16+H16+I16+J16</f>
        <v>85341175.069999993</v>
      </c>
    </row>
    <row r="17" spans="1:11" hidden="1" x14ac:dyDescent="0.25">
      <c r="A17" s="1071"/>
      <c r="B17" s="130" t="s">
        <v>103</v>
      </c>
      <c r="C17" s="8" t="s">
        <v>10</v>
      </c>
      <c r="D17" s="133">
        <v>9940800</v>
      </c>
      <c r="E17" s="84">
        <v>0</v>
      </c>
      <c r="F17" s="197">
        <v>0</v>
      </c>
      <c r="G17" s="197">
        <v>0</v>
      </c>
      <c r="H17" s="197">
        <v>0</v>
      </c>
      <c r="I17" s="197">
        <v>0</v>
      </c>
      <c r="J17" s="550">
        <v>0</v>
      </c>
      <c r="K17" s="18">
        <f t="shared" si="9"/>
        <v>9940800</v>
      </c>
    </row>
    <row r="18" spans="1:11" ht="58.5" hidden="1" customHeight="1" x14ac:dyDescent="0.25">
      <c r="A18" s="1071"/>
      <c r="B18" s="130" t="s">
        <v>104</v>
      </c>
      <c r="C18" s="8" t="s">
        <v>27</v>
      </c>
      <c r="D18" s="133">
        <v>112900</v>
      </c>
      <c r="E18" s="84">
        <v>0</v>
      </c>
      <c r="F18" s="197">
        <v>0</v>
      </c>
      <c r="G18" s="197">
        <v>0</v>
      </c>
      <c r="H18" s="197">
        <v>0</v>
      </c>
      <c r="I18" s="197">
        <v>0</v>
      </c>
      <c r="J18" s="550">
        <v>0</v>
      </c>
      <c r="K18" s="18">
        <f t="shared" si="9"/>
        <v>112900</v>
      </c>
    </row>
    <row r="19" spans="1:11" ht="20.25" hidden="1" customHeight="1" x14ac:dyDescent="0.25">
      <c r="A19" s="1071"/>
      <c r="B19" s="131" t="s">
        <v>105</v>
      </c>
      <c r="C19" s="128" t="s">
        <v>11</v>
      </c>
      <c r="D19" s="134">
        <v>11059200</v>
      </c>
      <c r="E19" s="104">
        <v>0</v>
      </c>
      <c r="F19" s="198">
        <v>0</v>
      </c>
      <c r="G19" s="198">
        <v>0</v>
      </c>
      <c r="H19" s="198">
        <v>0</v>
      </c>
      <c r="I19" s="198">
        <v>0</v>
      </c>
      <c r="J19" s="556">
        <v>0</v>
      </c>
      <c r="K19" s="18">
        <f t="shared" si="9"/>
        <v>11059200</v>
      </c>
    </row>
    <row r="20" spans="1:11" ht="18" hidden="1" customHeight="1" x14ac:dyDescent="0.25">
      <c r="A20" s="1071"/>
      <c r="B20" s="127"/>
      <c r="C20" s="135" t="s">
        <v>191</v>
      </c>
      <c r="D20" s="133">
        <v>296963400</v>
      </c>
      <c r="E20" s="115">
        <v>0</v>
      </c>
      <c r="F20" s="197">
        <v>0</v>
      </c>
      <c r="G20" s="197">
        <v>0</v>
      </c>
      <c r="H20" s="197">
        <v>0</v>
      </c>
      <c r="I20" s="197">
        <v>0</v>
      </c>
      <c r="J20" s="197">
        <v>0</v>
      </c>
      <c r="K20" s="18">
        <f t="shared" si="9"/>
        <v>296963400</v>
      </c>
    </row>
    <row r="21" spans="1:11" ht="51" hidden="1" x14ac:dyDescent="0.25">
      <c r="A21" s="1071"/>
      <c r="B21" s="127"/>
      <c r="C21" s="135" t="s">
        <v>192</v>
      </c>
      <c r="D21" s="133">
        <v>34900000</v>
      </c>
      <c r="E21" s="115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8">
        <f t="shared" si="9"/>
        <v>34900000</v>
      </c>
    </row>
    <row r="22" spans="1:11" ht="38.25" hidden="1" x14ac:dyDescent="0.25">
      <c r="A22" s="1071"/>
      <c r="B22" s="127"/>
      <c r="C22" s="135" t="s">
        <v>193</v>
      </c>
      <c r="D22" s="133">
        <v>1124600</v>
      </c>
      <c r="E22" s="115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8">
        <f t="shared" si="9"/>
        <v>1124600</v>
      </c>
    </row>
    <row r="23" spans="1:11" ht="38.25" hidden="1" x14ac:dyDescent="0.25">
      <c r="A23" s="1071"/>
      <c r="B23" s="127"/>
      <c r="C23" s="135" t="s">
        <v>194</v>
      </c>
      <c r="D23" s="133">
        <v>1990200</v>
      </c>
      <c r="E23" s="115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8">
        <f t="shared" si="9"/>
        <v>1990200</v>
      </c>
    </row>
    <row r="24" spans="1:11" ht="26.25" hidden="1" thickBot="1" x14ac:dyDescent="0.3">
      <c r="A24" s="1071"/>
      <c r="B24" s="127"/>
      <c r="C24" s="136" t="s">
        <v>195</v>
      </c>
      <c r="D24" s="134">
        <v>0</v>
      </c>
      <c r="E24" s="116">
        <v>4200000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8">
        <f t="shared" si="9"/>
        <v>4200000</v>
      </c>
    </row>
    <row r="25" spans="1:11" s="1" customFormat="1" ht="25.5" x14ac:dyDescent="0.25">
      <c r="A25" s="1030" t="s">
        <v>4</v>
      </c>
      <c r="B25" s="1033"/>
      <c r="C25" s="175" t="s">
        <v>69</v>
      </c>
      <c r="D25" s="192">
        <f t="shared" ref="D25:J25" si="10">D28+D32+D34+D39+D42</f>
        <v>810033222.42000008</v>
      </c>
      <c r="E25" s="192">
        <f t="shared" si="10"/>
        <v>547542835.72000003</v>
      </c>
      <c r="F25" s="192">
        <f t="shared" si="10"/>
        <v>417458460.48000002</v>
      </c>
      <c r="G25" s="192">
        <f t="shared" si="10"/>
        <v>217694107.16</v>
      </c>
      <c r="H25" s="192">
        <f t="shared" si="10"/>
        <v>214381807.16</v>
      </c>
      <c r="I25" s="192">
        <f t="shared" si="10"/>
        <v>213048358.88999999</v>
      </c>
      <c r="J25" s="192">
        <f t="shared" si="10"/>
        <v>152985558.88999999</v>
      </c>
      <c r="K25" s="533">
        <f>D25+E25+F25+G25+H25+I25+J25</f>
        <v>2573144350.7199998</v>
      </c>
    </row>
    <row r="26" spans="1:11" s="1" customFormat="1" x14ac:dyDescent="0.25">
      <c r="A26" s="1031"/>
      <c r="B26" s="1034"/>
      <c r="C26" s="174" t="s">
        <v>161</v>
      </c>
      <c r="D26" s="553">
        <f>D35+D36+D37+D38</f>
        <v>241631922.42000002</v>
      </c>
      <c r="E26" s="199">
        <f t="shared" ref="E26:J26" si="11">E35+E36+E37+E38</f>
        <v>403787620.17000002</v>
      </c>
      <c r="F26" s="199">
        <f t="shared" si="11"/>
        <v>260747600</v>
      </c>
      <c r="G26" s="199">
        <f t="shared" si="11"/>
        <v>64709800</v>
      </c>
      <c r="H26" s="199">
        <f t="shared" si="11"/>
        <v>61397500</v>
      </c>
      <c r="I26" s="199">
        <f t="shared" si="11"/>
        <v>60062800</v>
      </c>
      <c r="J26" s="554">
        <f t="shared" si="11"/>
        <v>0</v>
      </c>
      <c r="K26" s="534">
        <f>D26+E26+F26+G26+H26+I26+J26</f>
        <v>1092337242.5900002</v>
      </c>
    </row>
    <row r="27" spans="1:11" s="1" customFormat="1" ht="15.75" thickBot="1" x14ac:dyDescent="0.3">
      <c r="A27" s="1032"/>
      <c r="B27" s="1035"/>
      <c r="C27" s="165" t="s">
        <v>162</v>
      </c>
      <c r="D27" s="200">
        <f>D25-D26</f>
        <v>568401300</v>
      </c>
      <c r="E27" s="200">
        <f t="shared" ref="E27:J27" si="12">E25-E26</f>
        <v>143755215.55000001</v>
      </c>
      <c r="F27" s="200">
        <f t="shared" si="12"/>
        <v>156710860.48000002</v>
      </c>
      <c r="G27" s="200">
        <f t="shared" si="12"/>
        <v>152984307.16</v>
      </c>
      <c r="H27" s="200">
        <f t="shared" si="12"/>
        <v>152984307.16</v>
      </c>
      <c r="I27" s="200">
        <f t="shared" si="12"/>
        <v>152985558.88999999</v>
      </c>
      <c r="J27" s="200">
        <f t="shared" si="12"/>
        <v>152985558.88999999</v>
      </c>
      <c r="K27" s="535">
        <f>D27+E27+F27+G27+H27+I27+J27</f>
        <v>1480807108.1299996</v>
      </c>
    </row>
    <row r="28" spans="1:11" ht="15.75" thickBot="1" x14ac:dyDescent="0.3">
      <c r="A28" s="23" t="s">
        <v>66</v>
      </c>
      <c r="B28" s="40"/>
      <c r="C28" s="23" t="s">
        <v>71</v>
      </c>
      <c r="D28" s="201">
        <f>D29+D30+D31</f>
        <v>168762400</v>
      </c>
      <c r="E28" s="201">
        <f t="shared" ref="E28:J28" si="13">E29+E30+E31</f>
        <v>138202674.24000001</v>
      </c>
      <c r="F28" s="201">
        <f t="shared" si="13"/>
        <v>151156853.16999999</v>
      </c>
      <c r="G28" s="201">
        <f t="shared" si="13"/>
        <v>146984307.16</v>
      </c>
      <c r="H28" s="201">
        <f t="shared" si="13"/>
        <v>146984307.16</v>
      </c>
      <c r="I28" s="201">
        <f t="shared" si="13"/>
        <v>146985558.88999999</v>
      </c>
      <c r="J28" s="201">
        <f t="shared" si="13"/>
        <v>146985558.88999999</v>
      </c>
      <c r="K28" s="182">
        <f>D28+E28+F28+G28+H28+I28+J28</f>
        <v>1046061659.5099999</v>
      </c>
    </row>
    <row r="29" spans="1:11" ht="51" x14ac:dyDescent="0.25">
      <c r="A29" s="1027"/>
      <c r="B29" s="562" t="s">
        <v>106</v>
      </c>
      <c r="C29" s="455" t="s">
        <v>39</v>
      </c>
      <c r="D29" s="85">
        <v>24280100</v>
      </c>
      <c r="E29" s="86">
        <v>7737100.0099999998</v>
      </c>
      <c r="F29" s="196">
        <f>20615294.59-309228</f>
        <v>20306066.59</v>
      </c>
      <c r="G29" s="196">
        <f>20306066.59</f>
        <v>20306066.59</v>
      </c>
      <c r="H29" s="196">
        <f>20306066.59</f>
        <v>20306066.59</v>
      </c>
      <c r="I29" s="196">
        <f>20306066.59</f>
        <v>20306066.59</v>
      </c>
      <c r="J29" s="196">
        <f>20306066.59</f>
        <v>20306066.59</v>
      </c>
      <c r="K29" s="543">
        <f t="shared" ref="K29:K43" si="14">D29+E29+F29+G29+H29+I29+J29</f>
        <v>133547532.96000001</v>
      </c>
    </row>
    <row r="30" spans="1:11" ht="25.5" x14ac:dyDescent="0.25">
      <c r="A30" s="1028"/>
      <c r="B30" s="574" t="s">
        <v>107</v>
      </c>
      <c r="C30" s="24" t="s">
        <v>40</v>
      </c>
      <c r="D30" s="87">
        <v>144482300</v>
      </c>
      <c r="E30" s="88">
        <v>129945840.98999999</v>
      </c>
      <c r="F30" s="198">
        <f>126714863.89-1709151.3+845073.99</f>
        <v>125850786.58</v>
      </c>
      <c r="G30" s="198">
        <f>121478240.57</f>
        <v>121478240.56999999</v>
      </c>
      <c r="H30" s="198">
        <f>121478240.57</f>
        <v>121478240.56999999</v>
      </c>
      <c r="I30" s="198">
        <f>121479492.3</f>
        <v>121479492.3</v>
      </c>
      <c r="J30" s="198">
        <f>121479492.3</f>
        <v>121479492.3</v>
      </c>
      <c r="K30" s="545">
        <f t="shared" si="14"/>
        <v>886194393.30999994</v>
      </c>
    </row>
    <row r="31" spans="1:11" ht="26.25" thickBot="1" x14ac:dyDescent="0.3">
      <c r="A31" s="1029"/>
      <c r="B31" s="551" t="s">
        <v>314</v>
      </c>
      <c r="C31" s="24" t="s">
        <v>218</v>
      </c>
      <c r="D31" s="140">
        <v>0</v>
      </c>
      <c r="E31" s="88">
        <v>519733.24</v>
      </c>
      <c r="F31" s="198">
        <v>5000000</v>
      </c>
      <c r="G31" s="198">
        <v>5200000</v>
      </c>
      <c r="H31" s="198">
        <v>5200000</v>
      </c>
      <c r="I31" s="198">
        <v>5200000</v>
      </c>
      <c r="J31" s="198">
        <v>5200000</v>
      </c>
      <c r="K31" s="545">
        <f>D31+E31+F31+G31+H31+I31+J31</f>
        <v>26319733.240000002</v>
      </c>
    </row>
    <row r="32" spans="1:11" s="1" customFormat="1" ht="26.25" thickBot="1" x14ac:dyDescent="0.3">
      <c r="A32" s="23" t="s">
        <v>66</v>
      </c>
      <c r="B32" s="40"/>
      <c r="C32" s="23" t="s">
        <v>72</v>
      </c>
      <c r="D32" s="202">
        <f>D33</f>
        <v>5289600</v>
      </c>
      <c r="E32" s="202">
        <f t="shared" ref="E32:J32" si="15">E33</f>
        <v>5552541.3099999996</v>
      </c>
      <c r="F32" s="202">
        <f t="shared" si="15"/>
        <v>5554007.3099999996</v>
      </c>
      <c r="G32" s="202">
        <f t="shared" si="15"/>
        <v>6000000</v>
      </c>
      <c r="H32" s="202">
        <f t="shared" si="15"/>
        <v>6000000</v>
      </c>
      <c r="I32" s="202">
        <f t="shared" si="15"/>
        <v>6000000</v>
      </c>
      <c r="J32" s="202">
        <f t="shared" si="15"/>
        <v>6000000</v>
      </c>
      <c r="K32" s="182">
        <f t="shared" si="14"/>
        <v>40396148.619999997</v>
      </c>
    </row>
    <row r="33" spans="1:11" ht="64.5" thickBot="1" x14ac:dyDescent="0.3">
      <c r="A33" s="25"/>
      <c r="B33" s="565" t="s">
        <v>108</v>
      </c>
      <c r="C33" s="25" t="s">
        <v>315</v>
      </c>
      <c r="D33" s="89">
        <v>5289600</v>
      </c>
      <c r="E33" s="90">
        <v>5552541.3099999996</v>
      </c>
      <c r="F33" s="203">
        <v>5554007.3099999996</v>
      </c>
      <c r="G33" s="203">
        <v>6000000</v>
      </c>
      <c r="H33" s="203">
        <v>6000000</v>
      </c>
      <c r="I33" s="203">
        <v>6000000</v>
      </c>
      <c r="J33" s="203">
        <v>6000000</v>
      </c>
      <c r="K33" s="543">
        <f t="shared" si="14"/>
        <v>40396148.619999997</v>
      </c>
    </row>
    <row r="34" spans="1:11" s="1" customFormat="1" ht="39" thickBot="1" x14ac:dyDescent="0.3">
      <c r="A34" s="23" t="s">
        <v>66</v>
      </c>
      <c r="B34" s="40"/>
      <c r="C34" s="23" t="s">
        <v>73</v>
      </c>
      <c r="D34" s="202">
        <f>D35+D36+D37+D38</f>
        <v>241631922.42000002</v>
      </c>
      <c r="E34" s="202">
        <f t="shared" ref="E34:J34" si="16">E35+E36+E37+E38</f>
        <v>403787620.17000002</v>
      </c>
      <c r="F34" s="202">
        <f t="shared" si="16"/>
        <v>260747600</v>
      </c>
      <c r="G34" s="202">
        <f t="shared" si="16"/>
        <v>64709800</v>
      </c>
      <c r="H34" s="202">
        <f t="shared" si="16"/>
        <v>61397500</v>
      </c>
      <c r="I34" s="202">
        <f t="shared" si="16"/>
        <v>60062800</v>
      </c>
      <c r="J34" s="202">
        <f t="shared" si="16"/>
        <v>0</v>
      </c>
      <c r="K34" s="545">
        <f t="shared" si="14"/>
        <v>1092337242.5900002</v>
      </c>
    </row>
    <row r="35" spans="1:11" s="1" customFormat="1" ht="89.25" x14ac:dyDescent="0.25">
      <c r="A35" s="1039"/>
      <c r="B35" s="574" t="s">
        <v>109</v>
      </c>
      <c r="C35" s="221" t="s">
        <v>43</v>
      </c>
      <c r="D35" s="87">
        <v>11626322.42</v>
      </c>
      <c r="E35" s="88">
        <v>10750920.17</v>
      </c>
      <c r="F35" s="198">
        <f>3393600+2534000-5927600+5607800</f>
        <v>5607800</v>
      </c>
      <c r="G35" s="198">
        <v>0</v>
      </c>
      <c r="H35" s="198">
        <v>0</v>
      </c>
      <c r="I35" s="198">
        <v>0</v>
      </c>
      <c r="J35" s="556">
        <v>0</v>
      </c>
      <c r="K35" s="545">
        <f t="shared" si="14"/>
        <v>27985042.59</v>
      </c>
    </row>
    <row r="36" spans="1:11" s="1" customFormat="1" ht="25.5" x14ac:dyDescent="0.25">
      <c r="A36" s="1044"/>
      <c r="B36" s="546" t="s">
        <v>110</v>
      </c>
      <c r="C36" s="14" t="s">
        <v>42</v>
      </c>
      <c r="D36" s="91">
        <v>81993700</v>
      </c>
      <c r="E36" s="92">
        <v>98648800</v>
      </c>
      <c r="F36" s="197">
        <v>75859900</v>
      </c>
      <c r="G36" s="197">
        <v>64709800</v>
      </c>
      <c r="H36" s="197">
        <v>61397500</v>
      </c>
      <c r="I36" s="197">
        <v>60062800</v>
      </c>
      <c r="J36" s="550">
        <v>0</v>
      </c>
      <c r="K36" s="545">
        <f t="shared" si="14"/>
        <v>442672500</v>
      </c>
    </row>
    <row r="37" spans="1:11" ht="77.25" thickBot="1" x14ac:dyDescent="0.3">
      <c r="A37" s="1044"/>
      <c r="B37" s="546" t="s">
        <v>111</v>
      </c>
      <c r="C37" s="24" t="s">
        <v>41</v>
      </c>
      <c r="D37" s="87">
        <v>148011900</v>
      </c>
      <c r="E37" s="88">
        <f>172801400+2590500</f>
        <v>175391900</v>
      </c>
      <c r="F37" s="198">
        <f>159089000+14295900+5895000</f>
        <v>179279900</v>
      </c>
      <c r="G37" s="198">
        <v>0</v>
      </c>
      <c r="H37" s="198">
        <v>0</v>
      </c>
      <c r="I37" s="198">
        <v>0</v>
      </c>
      <c r="J37" s="556">
        <v>0</v>
      </c>
      <c r="K37" s="545">
        <f t="shared" si="14"/>
        <v>502683700</v>
      </c>
    </row>
    <row r="38" spans="1:11" s="503" customFormat="1" ht="15.75" hidden="1" thickBot="1" x14ac:dyDescent="0.3">
      <c r="A38" s="1040"/>
      <c r="B38" s="565"/>
      <c r="C38" s="30" t="s">
        <v>205</v>
      </c>
      <c r="D38" s="139">
        <v>0</v>
      </c>
      <c r="E38" s="98">
        <v>118996000</v>
      </c>
      <c r="F38" s="204">
        <v>0</v>
      </c>
      <c r="G38" s="204">
        <v>0</v>
      </c>
      <c r="H38" s="204">
        <v>0</v>
      </c>
      <c r="I38" s="204">
        <v>0</v>
      </c>
      <c r="J38" s="557">
        <v>0</v>
      </c>
      <c r="K38" s="552">
        <f t="shared" si="14"/>
        <v>118996000</v>
      </c>
    </row>
    <row r="39" spans="1:11" s="503" customFormat="1" ht="26.25" hidden="1" thickBot="1" x14ac:dyDescent="0.3">
      <c r="A39" s="616" t="s">
        <v>66</v>
      </c>
      <c r="B39" s="617"/>
      <c r="C39" s="476" t="s">
        <v>206</v>
      </c>
      <c r="D39" s="618">
        <f t="shared" ref="D39:J39" si="17">D40+D41</f>
        <v>361351300</v>
      </c>
      <c r="E39" s="618">
        <f t="shared" si="17"/>
        <v>0</v>
      </c>
      <c r="F39" s="677">
        <f t="shared" si="17"/>
        <v>0</v>
      </c>
      <c r="G39" s="677">
        <f t="shared" si="17"/>
        <v>0</v>
      </c>
      <c r="H39" s="677">
        <f t="shared" si="17"/>
        <v>0</v>
      </c>
      <c r="I39" s="677">
        <f t="shared" si="17"/>
        <v>0</v>
      </c>
      <c r="J39" s="677">
        <f t="shared" si="17"/>
        <v>0</v>
      </c>
      <c r="K39" s="619">
        <f t="shared" si="14"/>
        <v>361351300</v>
      </c>
    </row>
    <row r="40" spans="1:11" s="503" customFormat="1" ht="81" hidden="1" customHeight="1" x14ac:dyDescent="0.25">
      <c r="A40" s="1075"/>
      <c r="B40" s="486"/>
      <c r="C40" s="480" t="s">
        <v>207</v>
      </c>
      <c r="D40" s="506">
        <v>331685200</v>
      </c>
      <c r="E40" s="507">
        <v>0</v>
      </c>
      <c r="F40" s="678">
        <v>0</v>
      </c>
      <c r="G40" s="678">
        <v>0</v>
      </c>
      <c r="H40" s="678">
        <v>0</v>
      </c>
      <c r="I40" s="678">
        <v>0</v>
      </c>
      <c r="J40" s="678">
        <v>0</v>
      </c>
      <c r="K40" s="481">
        <f t="shared" si="14"/>
        <v>331685200</v>
      </c>
    </row>
    <row r="41" spans="1:11" s="503" customFormat="1" ht="81.75" hidden="1" customHeight="1" thickBot="1" x14ac:dyDescent="0.3">
      <c r="A41" s="1076"/>
      <c r="B41" s="508"/>
      <c r="C41" s="484" t="s">
        <v>208</v>
      </c>
      <c r="D41" s="485">
        <v>29666100</v>
      </c>
      <c r="E41" s="509">
        <v>0</v>
      </c>
      <c r="F41" s="679">
        <v>0</v>
      </c>
      <c r="G41" s="679">
        <v>0</v>
      </c>
      <c r="H41" s="679">
        <v>0</v>
      </c>
      <c r="I41" s="679">
        <v>0</v>
      </c>
      <c r="J41" s="679">
        <v>0</v>
      </c>
      <c r="K41" s="479">
        <f t="shared" si="14"/>
        <v>29666100</v>
      </c>
    </row>
    <row r="42" spans="1:11" s="503" customFormat="1" ht="26.25" hidden="1" thickBot="1" x14ac:dyDescent="0.3">
      <c r="A42" s="620" t="s">
        <v>66</v>
      </c>
      <c r="B42" s="621"/>
      <c r="C42" s="620" t="s">
        <v>203</v>
      </c>
      <c r="D42" s="622">
        <f t="shared" ref="D42:J42" si="18">D43</f>
        <v>32998000</v>
      </c>
      <c r="E42" s="622">
        <f t="shared" si="18"/>
        <v>0</v>
      </c>
      <c r="F42" s="202">
        <f t="shared" si="18"/>
        <v>0</v>
      </c>
      <c r="G42" s="202">
        <f t="shared" si="18"/>
        <v>0</v>
      </c>
      <c r="H42" s="202">
        <f t="shared" si="18"/>
        <v>0</v>
      </c>
      <c r="I42" s="202">
        <f t="shared" si="18"/>
        <v>0</v>
      </c>
      <c r="J42" s="202">
        <f t="shared" si="18"/>
        <v>0</v>
      </c>
      <c r="K42" s="619">
        <f t="shared" si="14"/>
        <v>32998000</v>
      </c>
    </row>
    <row r="43" spans="1:11" ht="64.5" hidden="1" thickBot="1" x14ac:dyDescent="0.3">
      <c r="A43" s="31"/>
      <c r="B43" s="489" t="s">
        <v>130</v>
      </c>
      <c r="C43" s="510" t="s">
        <v>204</v>
      </c>
      <c r="D43" s="505">
        <v>32998000</v>
      </c>
      <c r="E43" s="511">
        <v>0</v>
      </c>
      <c r="F43" s="205">
        <v>0</v>
      </c>
      <c r="G43" s="205">
        <v>0</v>
      </c>
      <c r="H43" s="205">
        <v>0</v>
      </c>
      <c r="I43" s="205">
        <v>0</v>
      </c>
      <c r="J43" s="549">
        <v>0</v>
      </c>
      <c r="K43" s="504">
        <f t="shared" si="14"/>
        <v>32998000</v>
      </c>
    </row>
    <row r="44" spans="1:11" ht="25.5" x14ac:dyDescent="0.25">
      <c r="A44" s="1030" t="s">
        <v>4</v>
      </c>
      <c r="B44" s="1033"/>
      <c r="C44" s="175" t="s">
        <v>74</v>
      </c>
      <c r="D44" s="206">
        <f>D47+D57+D60</f>
        <v>1057835667.3399999</v>
      </c>
      <c r="E44" s="206">
        <f>E47+E57+E60</f>
        <v>821524363.00999999</v>
      </c>
      <c r="F44" s="206">
        <f>F47+F57+F60+F65</f>
        <v>810546866.32999992</v>
      </c>
      <c r="G44" s="206">
        <f>G47+G57+G60+G65</f>
        <v>559874226.53999996</v>
      </c>
      <c r="H44" s="206">
        <f>H47+H57+H60+H65</f>
        <v>558381726.53999996</v>
      </c>
      <c r="I44" s="206">
        <f>I47+I57+I60+I65</f>
        <v>557883680.30999994</v>
      </c>
      <c r="J44" s="206">
        <f>J47+J57+J60+J65</f>
        <v>535484480.31</v>
      </c>
      <c r="K44" s="568">
        <f t="shared" ref="K44:K50" si="19">D44+E44+F44+G44+H44+I44+J44</f>
        <v>4901531010.3800001</v>
      </c>
    </row>
    <row r="45" spans="1:11" x14ac:dyDescent="0.25">
      <c r="A45" s="1031"/>
      <c r="B45" s="1034"/>
      <c r="C45" s="161" t="s">
        <v>161</v>
      </c>
      <c r="D45" s="199">
        <f>D54+D56+D58+D63+D64</f>
        <v>273118967.34000003</v>
      </c>
      <c r="E45" s="199">
        <f>E54+E56+E58+E63+E64</f>
        <v>231202900</v>
      </c>
      <c r="F45" s="199">
        <f>F54+F56+F58+F63+F64+F66</f>
        <v>204209100</v>
      </c>
      <c r="G45" s="199">
        <f>G54+G56+G58+G63+G64+G66</f>
        <v>24389600</v>
      </c>
      <c r="H45" s="199">
        <f>H54+H56+H58+H63+H64+H66</f>
        <v>22897100</v>
      </c>
      <c r="I45" s="199">
        <f>I54+I56+I58+I63+I64+I66</f>
        <v>22399200</v>
      </c>
      <c r="J45" s="199">
        <f>J54+J56+J58+J63+J64+J66</f>
        <v>0</v>
      </c>
      <c r="K45" s="555">
        <f t="shared" si="19"/>
        <v>778216867.34000003</v>
      </c>
    </row>
    <row r="46" spans="1:11" ht="15.75" thickBot="1" x14ac:dyDescent="0.3">
      <c r="A46" s="1032"/>
      <c r="B46" s="1035"/>
      <c r="C46" s="177" t="s">
        <v>162</v>
      </c>
      <c r="D46" s="200">
        <f>D44-D45</f>
        <v>784716699.99999988</v>
      </c>
      <c r="E46" s="200">
        <f t="shared" ref="E46:J46" si="20">E44-E45</f>
        <v>590321463.00999999</v>
      </c>
      <c r="F46" s="200">
        <f t="shared" si="20"/>
        <v>606337766.32999992</v>
      </c>
      <c r="G46" s="200">
        <f t="shared" si="20"/>
        <v>535484626.53999996</v>
      </c>
      <c r="H46" s="200">
        <f t="shared" si="20"/>
        <v>535484626.53999996</v>
      </c>
      <c r="I46" s="200">
        <f t="shared" si="20"/>
        <v>535484480.30999994</v>
      </c>
      <c r="J46" s="200">
        <f t="shared" si="20"/>
        <v>535484480.31</v>
      </c>
      <c r="K46" s="555">
        <f t="shared" si="19"/>
        <v>4123314143.0399995</v>
      </c>
    </row>
    <row r="47" spans="1:11" s="1" customFormat="1" ht="15.75" thickBot="1" x14ac:dyDescent="0.3">
      <c r="A47" s="23" t="s">
        <v>66</v>
      </c>
      <c r="B47" s="40"/>
      <c r="C47" s="20" t="s">
        <v>75</v>
      </c>
      <c r="D47" s="202">
        <f>D48+D49+D50+D51+D52+D53+D54+D55+D56</f>
        <v>790036027.80999994</v>
      </c>
      <c r="E47" s="202">
        <f t="shared" ref="E47:J47" si="21">E48+E49+E50+E51+E52+E53+E54+E55+E56</f>
        <v>584743898.37</v>
      </c>
      <c r="F47" s="202">
        <f t="shared" si="21"/>
        <v>597474357.63</v>
      </c>
      <c r="G47" s="202">
        <f t="shared" si="21"/>
        <v>520777634.04000002</v>
      </c>
      <c r="H47" s="202">
        <f t="shared" si="21"/>
        <v>520777634.04000002</v>
      </c>
      <c r="I47" s="202">
        <f t="shared" si="21"/>
        <v>520777588.81</v>
      </c>
      <c r="J47" s="202">
        <f t="shared" si="21"/>
        <v>520777588.81</v>
      </c>
      <c r="K47" s="564">
        <f t="shared" si="19"/>
        <v>4055364729.5099998</v>
      </c>
    </row>
    <row r="48" spans="1:11" s="1" customFormat="1" ht="51" x14ac:dyDescent="0.25">
      <c r="A48" s="1039"/>
      <c r="B48" s="74" t="s">
        <v>112</v>
      </c>
      <c r="C48" s="569" t="s">
        <v>39</v>
      </c>
      <c r="D48" s="570">
        <f>43918700+4404200</f>
        <v>48322900</v>
      </c>
      <c r="E48" s="571">
        <f>28127900.06+658100.01</f>
        <v>28786000.07</v>
      </c>
      <c r="F48" s="205">
        <f>69217709.03+1841927.8-721017.5</f>
        <v>70338619.329999998</v>
      </c>
      <c r="G48" s="205">
        <f>68496691.53+1841927.8</f>
        <v>70338619.329999998</v>
      </c>
      <c r="H48" s="205">
        <f>68496691.53+1841927.8</f>
        <v>70338619.329999998</v>
      </c>
      <c r="I48" s="205">
        <f>68496691.53+1841927.8</f>
        <v>70338619.329999998</v>
      </c>
      <c r="J48" s="205">
        <f>68496691.53+1841927.8</f>
        <v>70338619.329999998</v>
      </c>
      <c r="K48" s="572">
        <f t="shared" si="19"/>
        <v>428801996.71999991</v>
      </c>
    </row>
    <row r="49" spans="1:11" ht="25.5" x14ac:dyDescent="0.25">
      <c r="A49" s="1044"/>
      <c r="B49" s="562" t="s">
        <v>113</v>
      </c>
      <c r="C49" s="22" t="s">
        <v>44</v>
      </c>
      <c r="D49" s="138">
        <v>603160100</v>
      </c>
      <c r="E49" s="86">
        <v>519964506.77999997</v>
      </c>
      <c r="F49" s="196">
        <f>481782528.18-5897421.95+2392229.27</f>
        <v>478277335.5</v>
      </c>
      <c r="G49" s="196">
        <v>415864838.10000002</v>
      </c>
      <c r="H49" s="196">
        <v>415864838.10000002</v>
      </c>
      <c r="I49" s="196">
        <v>415864827.44</v>
      </c>
      <c r="J49" s="196">
        <v>415864827.44</v>
      </c>
      <c r="K49" s="573">
        <f t="shared" si="19"/>
        <v>3264861273.3600001</v>
      </c>
    </row>
    <row r="50" spans="1:11" x14ac:dyDescent="0.25">
      <c r="A50" s="1044"/>
      <c r="B50" s="562" t="s">
        <v>222</v>
      </c>
      <c r="C50" s="22" t="s">
        <v>221</v>
      </c>
      <c r="D50" s="138">
        <v>0</v>
      </c>
      <c r="E50" s="86">
        <v>0</v>
      </c>
      <c r="F50" s="196">
        <f>31170962.18-15960002.87</f>
        <v>15210959.310000001</v>
      </c>
      <c r="G50" s="196">
        <v>13953093.43</v>
      </c>
      <c r="H50" s="196">
        <v>13953093.43</v>
      </c>
      <c r="I50" s="196">
        <v>13953107.560000001</v>
      </c>
      <c r="J50" s="196">
        <v>13953107.560000001</v>
      </c>
      <c r="K50" s="573">
        <f t="shared" si="19"/>
        <v>71023361.290000007</v>
      </c>
    </row>
    <row r="51" spans="1:11" ht="26.25" thickBot="1" x14ac:dyDescent="0.3">
      <c r="A51" s="1044"/>
      <c r="B51" s="546" t="s">
        <v>114</v>
      </c>
      <c r="C51" s="14" t="s">
        <v>45</v>
      </c>
      <c r="D51" s="143">
        <v>27786000</v>
      </c>
      <c r="E51" s="92">
        <v>24652091.52</v>
      </c>
      <c r="F51" s="197">
        <f>24652091.52-854458.93+86310.9</f>
        <v>23883943.489999998</v>
      </c>
      <c r="G51" s="197">
        <f>20621083.18</f>
        <v>20621083.18</v>
      </c>
      <c r="H51" s="197">
        <v>20621083.18</v>
      </c>
      <c r="I51" s="197">
        <v>20621034.48</v>
      </c>
      <c r="J51" s="197">
        <v>20621034.48</v>
      </c>
      <c r="K51" s="573">
        <f t="shared" ref="K51:K67" si="22">D51+E51+F51+G51+H51+I51+J51</f>
        <v>158806270.32999998</v>
      </c>
    </row>
    <row r="52" spans="1:11" s="503" customFormat="1" hidden="1" x14ac:dyDescent="0.25">
      <c r="A52" s="1044"/>
      <c r="B52" s="490"/>
      <c r="C52" s="491" t="s">
        <v>199</v>
      </c>
      <c r="D52" s="623">
        <v>66341200</v>
      </c>
      <c r="E52" s="492">
        <v>0</v>
      </c>
      <c r="F52" s="197">
        <v>0</v>
      </c>
      <c r="G52" s="197">
        <v>0</v>
      </c>
      <c r="H52" s="197">
        <v>0</v>
      </c>
      <c r="I52" s="197">
        <v>0</v>
      </c>
      <c r="J52" s="550">
        <v>0</v>
      </c>
      <c r="K52" s="573">
        <f t="shared" si="22"/>
        <v>66341200</v>
      </c>
    </row>
    <row r="53" spans="1:11" s="503" customFormat="1" hidden="1" x14ac:dyDescent="0.25">
      <c r="A53" s="1044"/>
      <c r="B53" s="490"/>
      <c r="C53" s="491" t="s">
        <v>200</v>
      </c>
      <c r="D53" s="623">
        <v>11160400</v>
      </c>
      <c r="E53" s="492">
        <v>0</v>
      </c>
      <c r="F53" s="197">
        <v>0</v>
      </c>
      <c r="G53" s="197">
        <v>0</v>
      </c>
      <c r="H53" s="197">
        <v>0</v>
      </c>
      <c r="I53" s="197">
        <v>0</v>
      </c>
      <c r="J53" s="550">
        <v>0</v>
      </c>
      <c r="K53" s="573">
        <f t="shared" si="22"/>
        <v>11160400</v>
      </c>
    </row>
    <row r="54" spans="1:11" ht="93.75" hidden="1" customHeight="1" x14ac:dyDescent="0.25">
      <c r="A54" s="1044"/>
      <c r="B54" s="546" t="s">
        <v>115</v>
      </c>
      <c r="C54" s="14" t="s">
        <v>46</v>
      </c>
      <c r="D54" s="143">
        <v>21906627.809999999</v>
      </c>
      <c r="E54" s="92">
        <v>11341300</v>
      </c>
      <c r="F54" s="197">
        <v>9763500</v>
      </c>
      <c r="G54" s="197">
        <v>0</v>
      </c>
      <c r="H54" s="197">
        <v>0</v>
      </c>
      <c r="I54" s="197">
        <v>0</v>
      </c>
      <c r="J54" s="550">
        <v>0</v>
      </c>
      <c r="K54" s="573">
        <f t="shared" si="22"/>
        <v>43011427.810000002</v>
      </c>
    </row>
    <row r="55" spans="1:11" s="503" customFormat="1" ht="30" hidden="1" customHeight="1" x14ac:dyDescent="0.25">
      <c r="A55" s="1044"/>
      <c r="B55" s="624"/>
      <c r="C55" s="625" t="s">
        <v>201</v>
      </c>
      <c r="D55" s="623">
        <v>1322400</v>
      </c>
      <c r="E55" s="492">
        <v>0</v>
      </c>
      <c r="F55" s="197">
        <v>0</v>
      </c>
      <c r="G55" s="197">
        <v>0</v>
      </c>
      <c r="H55" s="197">
        <v>0</v>
      </c>
      <c r="I55" s="197">
        <v>0</v>
      </c>
      <c r="J55" s="550">
        <v>0</v>
      </c>
      <c r="K55" s="573">
        <f t="shared" si="22"/>
        <v>1322400</v>
      </c>
    </row>
    <row r="56" spans="1:11" s="503" customFormat="1" ht="31.5" hidden="1" customHeight="1" thickBot="1" x14ac:dyDescent="0.3">
      <c r="A56" s="1044"/>
      <c r="B56" s="624"/>
      <c r="C56" s="483" t="s">
        <v>202</v>
      </c>
      <c r="D56" s="626">
        <v>10036400</v>
      </c>
      <c r="E56" s="627">
        <v>0</v>
      </c>
      <c r="F56" s="203">
        <v>0</v>
      </c>
      <c r="G56" s="203">
        <v>0</v>
      </c>
      <c r="H56" s="203">
        <v>0</v>
      </c>
      <c r="I56" s="203">
        <v>0</v>
      </c>
      <c r="J56" s="566">
        <v>0</v>
      </c>
      <c r="K56" s="567">
        <f t="shared" si="22"/>
        <v>10036400</v>
      </c>
    </row>
    <row r="57" spans="1:11" s="1" customFormat="1" ht="64.5" thickBot="1" x14ac:dyDescent="0.3">
      <c r="A57" s="23" t="s">
        <v>66</v>
      </c>
      <c r="B57" s="40"/>
      <c r="C57" s="20" t="s">
        <v>76</v>
      </c>
      <c r="D57" s="202">
        <f>D58</f>
        <v>48462500</v>
      </c>
      <c r="E57" s="202">
        <f>E58</f>
        <v>15666300</v>
      </c>
      <c r="F57" s="202">
        <f>F58+F59</f>
        <v>14243200</v>
      </c>
      <c r="G57" s="202">
        <f>G58+G59</f>
        <v>0</v>
      </c>
      <c r="H57" s="202">
        <f>H58+H59</f>
        <v>0</v>
      </c>
      <c r="I57" s="202">
        <f>I58+I59</f>
        <v>0</v>
      </c>
      <c r="J57" s="202">
        <f>J58+J59</f>
        <v>0</v>
      </c>
      <c r="K57" s="564">
        <f t="shared" si="22"/>
        <v>78372000</v>
      </c>
    </row>
    <row r="58" spans="1:11" ht="32.25" customHeight="1" x14ac:dyDescent="0.25">
      <c r="A58" s="25"/>
      <c r="B58" s="565" t="s">
        <v>116</v>
      </c>
      <c r="C58" s="444" t="s">
        <v>47</v>
      </c>
      <c r="D58" s="445">
        <v>48462500</v>
      </c>
      <c r="E58" s="446">
        <v>15666300</v>
      </c>
      <c r="F58" s="205">
        <v>13843200</v>
      </c>
      <c r="G58" s="205">
        <v>0</v>
      </c>
      <c r="H58" s="205">
        <v>0</v>
      </c>
      <c r="I58" s="205">
        <v>0</v>
      </c>
      <c r="J58" s="549">
        <v>0</v>
      </c>
      <c r="K58" s="572">
        <f t="shared" si="22"/>
        <v>77972000</v>
      </c>
    </row>
    <row r="59" spans="1:11" ht="39" thickBot="1" x14ac:dyDescent="0.3">
      <c r="A59" s="25"/>
      <c r="B59" s="565"/>
      <c r="C59" s="26" t="s">
        <v>474</v>
      </c>
      <c r="D59" s="443"/>
      <c r="E59" s="95"/>
      <c r="F59" s="203">
        <v>400000</v>
      </c>
      <c r="G59" s="203">
        <v>0</v>
      </c>
      <c r="H59" s="203">
        <v>0</v>
      </c>
      <c r="I59" s="203">
        <v>0</v>
      </c>
      <c r="J59" s="566">
        <v>0</v>
      </c>
      <c r="K59" s="651">
        <f t="shared" si="22"/>
        <v>400000</v>
      </c>
    </row>
    <row r="60" spans="1:11" s="1" customFormat="1" ht="39" thickBot="1" x14ac:dyDescent="0.3">
      <c r="A60" s="23" t="s">
        <v>66</v>
      </c>
      <c r="B60" s="40"/>
      <c r="C60" s="23" t="s">
        <v>330</v>
      </c>
      <c r="D60" s="202">
        <f>D61+D62+D63+D64</f>
        <v>219337139.53</v>
      </c>
      <c r="E60" s="202">
        <f t="shared" ref="E60:J60" si="23">E61+E62+E63+E64</f>
        <v>221114164.63999999</v>
      </c>
      <c r="F60" s="202">
        <f t="shared" si="23"/>
        <v>198829308.69999999</v>
      </c>
      <c r="G60" s="202">
        <f t="shared" si="23"/>
        <v>12294834.26</v>
      </c>
      <c r="H60" s="202">
        <f t="shared" si="23"/>
        <v>12442444.15</v>
      </c>
      <c r="I60" s="202">
        <f t="shared" si="23"/>
        <v>12491586.01</v>
      </c>
      <c r="J60" s="202">
        <f t="shared" si="23"/>
        <v>14706891.5</v>
      </c>
      <c r="K60" s="564">
        <f t="shared" si="22"/>
        <v>691216368.78999984</v>
      </c>
    </row>
    <row r="61" spans="1:11" ht="51" x14ac:dyDescent="0.25">
      <c r="A61" s="1080"/>
      <c r="B61" s="74" t="s">
        <v>117</v>
      </c>
      <c r="C61" s="645" t="s">
        <v>39</v>
      </c>
      <c r="D61" s="94">
        <v>1671400</v>
      </c>
      <c r="E61" s="86">
        <v>700000.04</v>
      </c>
      <c r="F61" s="196">
        <v>1648040</v>
      </c>
      <c r="G61" s="196">
        <f>1648040</f>
        <v>1648040</v>
      </c>
      <c r="H61" s="196">
        <f>1648040</f>
        <v>1648040</v>
      </c>
      <c r="I61" s="196">
        <f>1648040</f>
        <v>1648040</v>
      </c>
      <c r="J61" s="196">
        <f>1648040</f>
        <v>1648040</v>
      </c>
      <c r="K61" s="573">
        <f t="shared" si="22"/>
        <v>10611600.039999999</v>
      </c>
    </row>
    <row r="62" spans="1:11" ht="26.25" thickBot="1" x14ac:dyDescent="0.3">
      <c r="A62" s="1081"/>
      <c r="B62" s="546" t="s">
        <v>118</v>
      </c>
      <c r="C62" s="646" t="s">
        <v>98</v>
      </c>
      <c r="D62" s="91">
        <v>24952300</v>
      </c>
      <c r="E62" s="92">
        <v>16218864.6</v>
      </c>
      <c r="F62" s="197">
        <f>16218868.7+760000-400000</f>
        <v>16578868.699999999</v>
      </c>
      <c r="G62" s="197">
        <f>13058952.5-2412158.24</f>
        <v>10646794.26</v>
      </c>
      <c r="H62" s="197">
        <f>13058952.5-2264548.35</f>
        <v>10794404.15</v>
      </c>
      <c r="I62" s="197">
        <f>13058851.5-2215305.49</f>
        <v>10843546.01</v>
      </c>
      <c r="J62" s="197">
        <v>13058851.5</v>
      </c>
      <c r="K62" s="573">
        <f t="shared" si="22"/>
        <v>103093629.22000001</v>
      </c>
    </row>
    <row r="63" spans="1:11" ht="38.25" hidden="1" x14ac:dyDescent="0.25">
      <c r="A63" s="1081"/>
      <c r="B63" s="546" t="s">
        <v>119</v>
      </c>
      <c r="C63" s="646" t="s">
        <v>48</v>
      </c>
      <c r="D63" s="91">
        <v>191579239.53</v>
      </c>
      <c r="E63" s="92">
        <v>201629900</v>
      </c>
      <c r="F63" s="197">
        <v>178083300</v>
      </c>
      <c r="G63" s="197">
        <v>0</v>
      </c>
      <c r="H63" s="197">
        <v>0</v>
      </c>
      <c r="I63" s="197">
        <v>0</v>
      </c>
      <c r="J63" s="550">
        <v>0</v>
      </c>
      <c r="K63" s="573">
        <f t="shared" si="22"/>
        <v>571292439.52999997</v>
      </c>
    </row>
    <row r="64" spans="1:11" ht="26.25" hidden="1" thickBot="1" x14ac:dyDescent="0.3">
      <c r="A64" s="1081"/>
      <c r="B64" s="574" t="s">
        <v>120</v>
      </c>
      <c r="C64" s="647" t="s">
        <v>49</v>
      </c>
      <c r="D64" s="87">
        <v>1134200</v>
      </c>
      <c r="E64" s="88">
        <v>2565400</v>
      </c>
      <c r="F64" s="198">
        <v>2519100</v>
      </c>
      <c r="G64" s="198">
        <v>0</v>
      </c>
      <c r="H64" s="198">
        <v>0</v>
      </c>
      <c r="I64" s="198">
        <v>0</v>
      </c>
      <c r="J64" s="556">
        <v>0</v>
      </c>
      <c r="K64" s="567">
        <f t="shared" si="22"/>
        <v>6218700</v>
      </c>
    </row>
    <row r="65" spans="1:11" ht="26.25" thickBot="1" x14ac:dyDescent="0.3">
      <c r="A65" s="23" t="s">
        <v>66</v>
      </c>
      <c r="B65" s="548"/>
      <c r="C65" s="650" t="s">
        <v>482</v>
      </c>
      <c r="D65" s="649"/>
      <c r="E65" s="648"/>
      <c r="F65" s="202">
        <f>F66+F67</f>
        <v>0</v>
      </c>
      <c r="G65" s="202">
        <f>G66+G67</f>
        <v>26801758.240000002</v>
      </c>
      <c r="H65" s="202">
        <f>H66+H67</f>
        <v>25161648.350000001</v>
      </c>
      <c r="I65" s="202">
        <f>I66+I67</f>
        <v>24614505.490000002</v>
      </c>
      <c r="J65" s="202">
        <f>J66+J67</f>
        <v>0</v>
      </c>
      <c r="K65" s="564">
        <f t="shared" si="22"/>
        <v>76577912.080000013</v>
      </c>
    </row>
    <row r="66" spans="1:11" ht="63.75" x14ac:dyDescent="0.25">
      <c r="A66" s="660"/>
      <c r="B66" s="565" t="s">
        <v>483</v>
      </c>
      <c r="C66" s="661" t="s">
        <v>484</v>
      </c>
      <c r="D66" s="662"/>
      <c r="E66" s="662"/>
      <c r="F66" s="203">
        <v>0</v>
      </c>
      <c r="G66" s="680">
        <v>24389600</v>
      </c>
      <c r="H66" s="680">
        <v>22897100</v>
      </c>
      <c r="I66" s="680">
        <v>22399200</v>
      </c>
      <c r="J66" s="681">
        <v>0</v>
      </c>
      <c r="K66" s="567">
        <f t="shared" si="22"/>
        <v>69685900</v>
      </c>
    </row>
    <row r="67" spans="1:11" ht="64.5" thickBot="1" x14ac:dyDescent="0.3">
      <c r="A67" s="663"/>
      <c r="B67" s="551" t="s">
        <v>483</v>
      </c>
      <c r="C67" s="664" t="s">
        <v>484</v>
      </c>
      <c r="D67" s="665"/>
      <c r="E67" s="665"/>
      <c r="F67" s="204">
        <v>0</v>
      </c>
      <c r="G67" s="204">
        <v>2412158.2400000002</v>
      </c>
      <c r="H67" s="204">
        <v>2264548.35</v>
      </c>
      <c r="I67" s="204">
        <v>2215305.4900000002</v>
      </c>
      <c r="J67" s="557">
        <v>0</v>
      </c>
      <c r="K67" s="666">
        <f t="shared" si="22"/>
        <v>6892012.0800000001</v>
      </c>
    </row>
    <row r="68" spans="1:11" s="1" customFormat="1" x14ac:dyDescent="0.25">
      <c r="A68" s="1030" t="s">
        <v>4</v>
      </c>
      <c r="B68" s="1033"/>
      <c r="C68" s="639" t="s">
        <v>77</v>
      </c>
      <c r="D68" s="192">
        <f t="shared" ref="D68:J68" si="24">D71</f>
        <v>50851700</v>
      </c>
      <c r="E68" s="192">
        <f t="shared" si="24"/>
        <v>50510497.270000003</v>
      </c>
      <c r="F68" s="192">
        <f t="shared" si="24"/>
        <v>50510200</v>
      </c>
      <c r="G68" s="192">
        <f t="shared" si="24"/>
        <v>50510200</v>
      </c>
      <c r="H68" s="192">
        <f t="shared" si="24"/>
        <v>50510200</v>
      </c>
      <c r="I68" s="192">
        <f t="shared" si="24"/>
        <v>50510200</v>
      </c>
      <c r="J68" s="192">
        <f t="shared" si="24"/>
        <v>50510200</v>
      </c>
      <c r="K68" s="533">
        <f t="shared" ref="K68:K84" si="25">D68+E68+F68+G68+H68+I68+J68</f>
        <v>353913197.26999998</v>
      </c>
    </row>
    <row r="69" spans="1:11" s="1" customFormat="1" x14ac:dyDescent="0.25">
      <c r="A69" s="1031"/>
      <c r="B69" s="1034"/>
      <c r="C69" s="161" t="s">
        <v>161</v>
      </c>
      <c r="D69" s="207">
        <v>0</v>
      </c>
      <c r="E69" s="207">
        <v>0</v>
      </c>
      <c r="F69" s="207">
        <v>0</v>
      </c>
      <c r="G69" s="207">
        <v>0</v>
      </c>
      <c r="H69" s="207">
        <v>0</v>
      </c>
      <c r="I69" s="207">
        <v>0</v>
      </c>
      <c r="J69" s="207">
        <v>0</v>
      </c>
      <c r="K69" s="534">
        <f t="shared" si="25"/>
        <v>0</v>
      </c>
    </row>
    <row r="70" spans="1:11" s="1" customFormat="1" ht="15.75" thickBot="1" x14ac:dyDescent="0.3">
      <c r="A70" s="1032"/>
      <c r="B70" s="1035"/>
      <c r="C70" s="177" t="s">
        <v>162</v>
      </c>
      <c r="D70" s="560">
        <f>D68-D69</f>
        <v>50851700</v>
      </c>
      <c r="E70" s="208">
        <f t="shared" ref="E70:J70" si="26">E68-E69</f>
        <v>50510497.270000003</v>
      </c>
      <c r="F70" s="208">
        <f t="shared" si="26"/>
        <v>50510200</v>
      </c>
      <c r="G70" s="208">
        <f t="shared" si="26"/>
        <v>50510200</v>
      </c>
      <c r="H70" s="208">
        <f t="shared" si="26"/>
        <v>50510200</v>
      </c>
      <c r="I70" s="208">
        <f t="shared" si="26"/>
        <v>50510200</v>
      </c>
      <c r="J70" s="561">
        <f t="shared" si="26"/>
        <v>50510200</v>
      </c>
      <c r="K70" s="519">
        <f t="shared" si="25"/>
        <v>353913197.26999998</v>
      </c>
    </row>
    <row r="71" spans="1:11" s="1" customFormat="1" ht="15.75" thickBot="1" x14ac:dyDescent="0.3">
      <c r="A71" s="23" t="s">
        <v>66</v>
      </c>
      <c r="B71" s="40"/>
      <c r="C71" s="23" t="s">
        <v>78</v>
      </c>
      <c r="D71" s="202">
        <f>D72</f>
        <v>50851700</v>
      </c>
      <c r="E71" s="202">
        <f>E72</f>
        <v>50510497.270000003</v>
      </c>
      <c r="F71" s="202">
        <f>F72+F73</f>
        <v>50510200</v>
      </c>
      <c r="G71" s="202">
        <f>G72+G73</f>
        <v>50510200</v>
      </c>
      <c r="H71" s="202">
        <f>H72+H73</f>
        <v>50510200</v>
      </c>
      <c r="I71" s="202">
        <f>I72+I73</f>
        <v>50510200</v>
      </c>
      <c r="J71" s="202">
        <f>J72+J73</f>
        <v>50510200</v>
      </c>
      <c r="K71" s="564">
        <f t="shared" si="25"/>
        <v>353913197.26999998</v>
      </c>
    </row>
    <row r="72" spans="1:11" ht="51" hidden="1" x14ac:dyDescent="0.25">
      <c r="A72" s="25"/>
      <c r="B72" s="565" t="s">
        <v>121</v>
      </c>
      <c r="C72" s="25" t="s">
        <v>50</v>
      </c>
      <c r="D72" s="89">
        <v>50851700</v>
      </c>
      <c r="E72" s="90">
        <v>50510497.270000003</v>
      </c>
      <c r="F72" s="205">
        <f>40510200+10000000</f>
        <v>50510200</v>
      </c>
      <c r="G72" s="205">
        <v>0</v>
      </c>
      <c r="H72" s="205">
        <v>0</v>
      </c>
      <c r="I72" s="205">
        <v>0</v>
      </c>
      <c r="J72" s="205">
        <v>0</v>
      </c>
      <c r="K72" s="572">
        <f t="shared" si="25"/>
        <v>151872397.27000001</v>
      </c>
    </row>
    <row r="73" spans="1:11" ht="15.75" thickBot="1" x14ac:dyDescent="0.3">
      <c r="A73" s="25"/>
      <c r="B73" s="551" t="s">
        <v>121</v>
      </c>
      <c r="C73" s="30" t="s">
        <v>485</v>
      </c>
      <c r="D73" s="139"/>
      <c r="E73" s="98"/>
      <c r="F73" s="210">
        <v>0</v>
      </c>
      <c r="G73" s="203">
        <f>46100200+4410000</f>
        <v>50510200</v>
      </c>
      <c r="H73" s="203">
        <f>46100200+4410000</f>
        <v>50510200</v>
      </c>
      <c r="I73" s="203">
        <f>46100200+4410000</f>
        <v>50510200</v>
      </c>
      <c r="J73" s="203">
        <f>46100200+4410000</f>
        <v>50510200</v>
      </c>
      <c r="K73" s="567">
        <f t="shared" si="25"/>
        <v>202040800</v>
      </c>
    </row>
    <row r="74" spans="1:11" s="1" customFormat="1" ht="25.5" x14ac:dyDescent="0.25">
      <c r="A74" s="1030" t="s">
        <v>4</v>
      </c>
      <c r="B74" s="1030"/>
      <c r="C74" s="178" t="s">
        <v>79</v>
      </c>
      <c r="D74" s="206">
        <f t="shared" ref="D74:J74" si="27">D77</f>
        <v>141277400</v>
      </c>
      <c r="E74" s="206">
        <f t="shared" si="27"/>
        <v>117113654.38</v>
      </c>
      <c r="F74" s="206">
        <f t="shared" si="27"/>
        <v>110823006.63</v>
      </c>
      <c r="G74" s="206">
        <f t="shared" si="27"/>
        <v>92612194.180000007</v>
      </c>
      <c r="H74" s="206">
        <f t="shared" si="27"/>
        <v>92612194.180000007</v>
      </c>
      <c r="I74" s="206">
        <f t="shared" si="27"/>
        <v>92612194.180000007</v>
      </c>
      <c r="J74" s="206">
        <f t="shared" si="27"/>
        <v>92612194.180000007</v>
      </c>
      <c r="K74" s="533">
        <f t="shared" si="25"/>
        <v>739662837.73000002</v>
      </c>
    </row>
    <row r="75" spans="1:11" s="1" customFormat="1" x14ac:dyDescent="0.25">
      <c r="A75" s="1031"/>
      <c r="B75" s="1031"/>
      <c r="C75" s="174" t="s">
        <v>161</v>
      </c>
      <c r="D75" s="209">
        <f>0</f>
        <v>0</v>
      </c>
      <c r="E75" s="209">
        <f>0</f>
        <v>0</v>
      </c>
      <c r="F75" s="209">
        <f>0</f>
        <v>0</v>
      </c>
      <c r="G75" s="209">
        <f>0</f>
        <v>0</v>
      </c>
      <c r="H75" s="209">
        <f>0</f>
        <v>0</v>
      </c>
      <c r="I75" s="209">
        <f>0</f>
        <v>0</v>
      </c>
      <c r="J75" s="209">
        <f>0</f>
        <v>0</v>
      </c>
      <c r="K75" s="534">
        <f t="shared" si="25"/>
        <v>0</v>
      </c>
    </row>
    <row r="76" spans="1:11" s="1" customFormat="1" ht="15.75" thickBot="1" x14ac:dyDescent="0.3">
      <c r="A76" s="1032"/>
      <c r="B76" s="1032"/>
      <c r="C76" s="177" t="s">
        <v>162</v>
      </c>
      <c r="D76" s="560">
        <f>D74-D75</f>
        <v>141277400</v>
      </c>
      <c r="E76" s="208">
        <f t="shared" ref="E76:J76" si="28">E74-E75</f>
        <v>117113654.38</v>
      </c>
      <c r="F76" s="208">
        <f t="shared" si="28"/>
        <v>110823006.63</v>
      </c>
      <c r="G76" s="208">
        <f t="shared" si="28"/>
        <v>92612194.180000007</v>
      </c>
      <c r="H76" s="208">
        <f t="shared" si="28"/>
        <v>92612194.180000007</v>
      </c>
      <c r="I76" s="208">
        <f t="shared" si="28"/>
        <v>92612194.180000007</v>
      </c>
      <c r="J76" s="561">
        <f t="shared" si="28"/>
        <v>92612194.180000007</v>
      </c>
      <c r="K76" s="555">
        <f t="shared" si="25"/>
        <v>739662837.73000002</v>
      </c>
    </row>
    <row r="77" spans="1:11" s="1" customFormat="1" ht="70.5" customHeight="1" thickBot="1" x14ac:dyDescent="0.3">
      <c r="A77" s="23" t="s">
        <v>66</v>
      </c>
      <c r="B77" s="40"/>
      <c r="C77" s="28" t="s">
        <v>97</v>
      </c>
      <c r="D77" s="202">
        <f>D78+D79+D80</f>
        <v>141277400</v>
      </c>
      <c r="E77" s="202">
        <f t="shared" ref="E77:J77" si="29">E78+E79+E80</f>
        <v>117113654.38</v>
      </c>
      <c r="F77" s="202">
        <f t="shared" si="29"/>
        <v>110823006.63</v>
      </c>
      <c r="G77" s="202">
        <f t="shared" si="29"/>
        <v>92612194.180000007</v>
      </c>
      <c r="H77" s="202">
        <f t="shared" si="29"/>
        <v>92612194.180000007</v>
      </c>
      <c r="I77" s="202">
        <f t="shared" si="29"/>
        <v>92612194.180000007</v>
      </c>
      <c r="J77" s="202">
        <f t="shared" si="29"/>
        <v>92612194.180000007</v>
      </c>
      <c r="K77" s="182">
        <f t="shared" si="25"/>
        <v>739662837.73000002</v>
      </c>
    </row>
    <row r="78" spans="1:11" ht="51" hidden="1" x14ac:dyDescent="0.25">
      <c r="A78" s="1039"/>
      <c r="B78" s="562" t="s">
        <v>122</v>
      </c>
      <c r="C78" s="27" t="s">
        <v>39</v>
      </c>
      <c r="D78" s="96">
        <v>2687500</v>
      </c>
      <c r="E78" s="97">
        <v>0</v>
      </c>
      <c r="F78" s="196">
        <v>0</v>
      </c>
      <c r="G78" s="196">
        <v>0</v>
      </c>
      <c r="H78" s="196">
        <v>0</v>
      </c>
      <c r="I78" s="196">
        <v>0</v>
      </c>
      <c r="J78" s="563">
        <v>0</v>
      </c>
      <c r="K78" s="540">
        <f t="shared" si="25"/>
        <v>2687500</v>
      </c>
    </row>
    <row r="79" spans="1:11" ht="28.5" customHeight="1" x14ac:dyDescent="0.25">
      <c r="A79" s="1044"/>
      <c r="B79" s="546" t="s">
        <v>123</v>
      </c>
      <c r="C79" s="14" t="s">
        <v>80</v>
      </c>
      <c r="D79" s="91">
        <v>123496900</v>
      </c>
      <c r="E79" s="92">
        <v>108470654.38</v>
      </c>
      <c r="F79" s="197">
        <f>106470624.63-4290618</f>
        <v>102180006.63</v>
      </c>
      <c r="G79" s="197">
        <v>83969194.180000007</v>
      </c>
      <c r="H79" s="197">
        <v>83969194.180000007</v>
      </c>
      <c r="I79" s="197">
        <v>83969194.180000007</v>
      </c>
      <c r="J79" s="197">
        <v>83969194.180000007</v>
      </c>
      <c r="K79" s="532">
        <f t="shared" si="25"/>
        <v>670024337.73000002</v>
      </c>
    </row>
    <row r="80" spans="1:11" ht="26.25" thickBot="1" x14ac:dyDescent="0.3">
      <c r="A80" s="1040"/>
      <c r="B80" s="551" t="s">
        <v>124</v>
      </c>
      <c r="C80" s="30" t="s">
        <v>51</v>
      </c>
      <c r="D80" s="93">
        <v>15093000</v>
      </c>
      <c r="E80" s="98">
        <v>8643000</v>
      </c>
      <c r="F80" s="204">
        <v>8643000</v>
      </c>
      <c r="G80" s="204">
        <v>8643000</v>
      </c>
      <c r="H80" s="204">
        <v>8643000</v>
      </c>
      <c r="I80" s="204">
        <v>8643000</v>
      </c>
      <c r="J80" s="682">
        <v>8643000</v>
      </c>
      <c r="K80" s="552">
        <f t="shared" si="25"/>
        <v>66951000</v>
      </c>
    </row>
    <row r="81" spans="1:11" s="1" customFormat="1" x14ac:dyDescent="0.25">
      <c r="A81" s="1030" t="s">
        <v>4</v>
      </c>
      <c r="B81" s="1033"/>
      <c r="C81" s="178" t="s">
        <v>81</v>
      </c>
      <c r="D81" s="206">
        <f>D84+D87+D90+D92+D94+D96</f>
        <v>157719300</v>
      </c>
      <c r="E81" s="206">
        <f t="shared" ref="E81:J81" si="30">E84+E87+E90+E92+E94+E96</f>
        <v>126417352.23999999</v>
      </c>
      <c r="F81" s="206">
        <f t="shared" si="30"/>
        <v>119638000.08999999</v>
      </c>
      <c r="G81" s="206">
        <f t="shared" si="30"/>
        <v>109456999.25999999</v>
      </c>
      <c r="H81" s="206">
        <f t="shared" si="30"/>
        <v>109456999.25999999</v>
      </c>
      <c r="I81" s="206">
        <f t="shared" si="30"/>
        <v>109456999.39</v>
      </c>
      <c r="J81" s="206">
        <f t="shared" si="30"/>
        <v>109456999.39</v>
      </c>
      <c r="K81" s="533">
        <f t="shared" si="25"/>
        <v>841602649.62999988</v>
      </c>
    </row>
    <row r="82" spans="1:11" s="1" customFormat="1" x14ac:dyDescent="0.25">
      <c r="A82" s="1031"/>
      <c r="B82" s="1034"/>
      <c r="C82" s="174" t="s">
        <v>161</v>
      </c>
      <c r="D82" s="553">
        <f>0</f>
        <v>0</v>
      </c>
      <c r="E82" s="199">
        <f>0</f>
        <v>0</v>
      </c>
      <c r="F82" s="199">
        <f>0</f>
        <v>0</v>
      </c>
      <c r="G82" s="199">
        <f>0</f>
        <v>0</v>
      </c>
      <c r="H82" s="199">
        <f>0</f>
        <v>0</v>
      </c>
      <c r="I82" s="199">
        <f>0</f>
        <v>0</v>
      </c>
      <c r="J82" s="554">
        <f>0</f>
        <v>0</v>
      </c>
      <c r="K82" s="534">
        <f t="shared" si="25"/>
        <v>0</v>
      </c>
    </row>
    <row r="83" spans="1:11" s="1" customFormat="1" ht="15.75" thickBot="1" x14ac:dyDescent="0.3">
      <c r="A83" s="1032"/>
      <c r="B83" s="1035"/>
      <c r="C83" s="177" t="s">
        <v>162</v>
      </c>
      <c r="D83" s="200">
        <f>D81-D82</f>
        <v>157719300</v>
      </c>
      <c r="E83" s="200">
        <f t="shared" ref="E83:J83" si="31">E81-E82</f>
        <v>126417352.23999999</v>
      </c>
      <c r="F83" s="200">
        <f t="shared" si="31"/>
        <v>119638000.08999999</v>
      </c>
      <c r="G83" s="200">
        <f t="shared" si="31"/>
        <v>109456999.25999999</v>
      </c>
      <c r="H83" s="200">
        <f t="shared" si="31"/>
        <v>109456999.25999999</v>
      </c>
      <c r="I83" s="200">
        <f t="shared" si="31"/>
        <v>109456999.39</v>
      </c>
      <c r="J83" s="200">
        <f t="shared" si="31"/>
        <v>109456999.39</v>
      </c>
      <c r="K83" s="555">
        <f t="shared" si="25"/>
        <v>841602649.62999988</v>
      </c>
    </row>
    <row r="84" spans="1:11" s="1" customFormat="1" ht="51.75" thickBot="1" x14ac:dyDescent="0.3">
      <c r="A84" s="23" t="s">
        <v>66</v>
      </c>
      <c r="B84" s="40"/>
      <c r="C84" s="23" t="s">
        <v>82</v>
      </c>
      <c r="D84" s="202">
        <f>D85+D86</f>
        <v>51325300</v>
      </c>
      <c r="E84" s="202">
        <f t="shared" ref="E84:J84" si="32">E85+E86</f>
        <v>49569292</v>
      </c>
      <c r="F84" s="202">
        <f t="shared" si="32"/>
        <v>49041567.780000001</v>
      </c>
      <c r="G84" s="202">
        <f t="shared" si="32"/>
        <v>43585405.539999999</v>
      </c>
      <c r="H84" s="202">
        <f t="shared" si="32"/>
        <v>43585405.539999999</v>
      </c>
      <c r="I84" s="202">
        <f t="shared" si="32"/>
        <v>43585405.539999999</v>
      </c>
      <c r="J84" s="202">
        <f t="shared" si="32"/>
        <v>43585405.539999999</v>
      </c>
      <c r="K84" s="543">
        <f t="shared" si="25"/>
        <v>324277781.94</v>
      </c>
    </row>
    <row r="85" spans="1:11" ht="51" x14ac:dyDescent="0.25">
      <c r="A85" s="1039"/>
      <c r="B85" s="74" t="s">
        <v>125</v>
      </c>
      <c r="C85" s="32" t="s">
        <v>39</v>
      </c>
      <c r="D85" s="85">
        <v>743600</v>
      </c>
      <c r="E85" s="99">
        <v>2333100</v>
      </c>
      <c r="F85" s="205">
        <f>3281296.21</f>
        <v>3281296.21</v>
      </c>
      <c r="G85" s="205">
        <v>3281296.21</v>
      </c>
      <c r="H85" s="205">
        <v>3281296.21</v>
      </c>
      <c r="I85" s="205">
        <v>3281296.21</v>
      </c>
      <c r="J85" s="205">
        <v>3281296.21</v>
      </c>
      <c r="K85" s="545">
        <f t="shared" ref="K85:K98" si="33">D85+E85+F85+G85+H85+I85+J85</f>
        <v>19483181.050000001</v>
      </c>
    </row>
    <row r="86" spans="1:11" ht="64.5" thickBot="1" x14ac:dyDescent="0.3">
      <c r="A86" s="1040"/>
      <c r="B86" s="551" t="s">
        <v>126</v>
      </c>
      <c r="C86" s="30" t="s">
        <v>70</v>
      </c>
      <c r="D86" s="93">
        <v>50581700</v>
      </c>
      <c r="E86" s="98">
        <v>47236192</v>
      </c>
      <c r="F86" s="204">
        <f>45519732-220000+460539.57</f>
        <v>45760271.57</v>
      </c>
      <c r="G86" s="204">
        <v>40304109.329999998</v>
      </c>
      <c r="H86" s="204">
        <v>40304109.329999998</v>
      </c>
      <c r="I86" s="204">
        <v>40304109.329999998</v>
      </c>
      <c r="J86" s="204">
        <v>40304109.329999998</v>
      </c>
      <c r="K86" s="552">
        <f t="shared" si="33"/>
        <v>304794600.88999993</v>
      </c>
    </row>
    <row r="87" spans="1:11" s="503" customFormat="1" ht="15.75" hidden="1" thickBot="1" x14ac:dyDescent="0.3">
      <c r="A87" s="620" t="s">
        <v>66</v>
      </c>
      <c r="B87" s="628"/>
      <c r="C87" s="629" t="s">
        <v>198</v>
      </c>
      <c r="D87" s="630">
        <f>D88+D89</f>
        <v>35919900</v>
      </c>
      <c r="E87" s="630">
        <f t="shared" ref="E87:J87" si="34">E88+E89</f>
        <v>7146573.0099999998</v>
      </c>
      <c r="F87" s="683">
        <f t="shared" si="34"/>
        <v>0</v>
      </c>
      <c r="G87" s="683">
        <f t="shared" si="34"/>
        <v>0</v>
      </c>
      <c r="H87" s="683">
        <f t="shared" si="34"/>
        <v>0</v>
      </c>
      <c r="I87" s="683">
        <f t="shared" si="34"/>
        <v>0</v>
      </c>
      <c r="J87" s="683">
        <f t="shared" si="34"/>
        <v>0</v>
      </c>
      <c r="K87" s="619">
        <f t="shared" si="33"/>
        <v>43066473.009999998</v>
      </c>
    </row>
    <row r="88" spans="1:11" s="503" customFormat="1" ht="58.5" hidden="1" customHeight="1" thickBot="1" x14ac:dyDescent="0.3">
      <c r="A88" s="1043"/>
      <c r="B88" s="631"/>
      <c r="C88" s="625" t="s">
        <v>24</v>
      </c>
      <c r="D88" s="632">
        <v>6692000</v>
      </c>
      <c r="E88" s="633">
        <v>1133100.01</v>
      </c>
      <c r="F88" s="198">
        <v>0</v>
      </c>
      <c r="G88" s="198">
        <v>0</v>
      </c>
      <c r="H88" s="198">
        <v>0</v>
      </c>
      <c r="I88" s="198">
        <v>0</v>
      </c>
      <c r="J88" s="556">
        <v>0</v>
      </c>
      <c r="K88" s="634">
        <f>D88+E88+F88+G88+H88+I88+J88</f>
        <v>7825100.0099999998</v>
      </c>
    </row>
    <row r="89" spans="1:11" s="503" customFormat="1" ht="17.25" hidden="1" customHeight="1" thickBot="1" x14ac:dyDescent="0.3">
      <c r="A89" s="1043"/>
      <c r="B89" s="635"/>
      <c r="C89" s="636" t="s">
        <v>197</v>
      </c>
      <c r="D89" s="637">
        <v>29227900</v>
      </c>
      <c r="E89" s="638">
        <v>6013473</v>
      </c>
      <c r="F89" s="204">
        <v>0</v>
      </c>
      <c r="G89" s="204">
        <v>0</v>
      </c>
      <c r="H89" s="204">
        <v>0</v>
      </c>
      <c r="I89" s="204">
        <v>0</v>
      </c>
      <c r="J89" s="557">
        <v>0</v>
      </c>
      <c r="K89" s="504">
        <f>D89+E89+F89+G89+H89+I89+J89</f>
        <v>35241373</v>
      </c>
    </row>
    <row r="90" spans="1:11" s="1" customFormat="1" ht="26.25" thickBot="1" x14ac:dyDescent="0.3">
      <c r="A90" s="23" t="s">
        <v>66</v>
      </c>
      <c r="B90" s="40"/>
      <c r="C90" s="23" t="s">
        <v>83</v>
      </c>
      <c r="D90" s="202">
        <f>D91</f>
        <v>3748100</v>
      </c>
      <c r="E90" s="202">
        <f t="shared" ref="E90:J90" si="35">E91</f>
        <v>3608099.37</v>
      </c>
      <c r="F90" s="202">
        <f t="shared" si="35"/>
        <v>3608099.37</v>
      </c>
      <c r="G90" s="202">
        <f t="shared" si="35"/>
        <v>3371276.69</v>
      </c>
      <c r="H90" s="202">
        <f t="shared" si="35"/>
        <v>3371276.69</v>
      </c>
      <c r="I90" s="202">
        <f t="shared" si="35"/>
        <v>3371276.69</v>
      </c>
      <c r="J90" s="202">
        <f t="shared" si="35"/>
        <v>3371276.69</v>
      </c>
      <c r="K90" s="182">
        <f t="shared" si="33"/>
        <v>24449405.500000004</v>
      </c>
    </row>
    <row r="91" spans="1:11" ht="64.5" thickBot="1" x14ac:dyDescent="0.3">
      <c r="A91" s="33"/>
      <c r="B91" s="558" t="s">
        <v>127</v>
      </c>
      <c r="C91" s="33" t="s">
        <v>52</v>
      </c>
      <c r="D91" s="100">
        <v>3748100</v>
      </c>
      <c r="E91" s="101">
        <v>3608099.37</v>
      </c>
      <c r="F91" s="210">
        <v>3608099.37</v>
      </c>
      <c r="G91" s="210">
        <v>3371276.69</v>
      </c>
      <c r="H91" s="210">
        <v>3371276.69</v>
      </c>
      <c r="I91" s="210">
        <v>3371276.69</v>
      </c>
      <c r="J91" s="210">
        <v>3371276.69</v>
      </c>
      <c r="K91" s="182">
        <f t="shared" si="33"/>
        <v>24449405.500000004</v>
      </c>
    </row>
    <row r="92" spans="1:11" s="1" customFormat="1" ht="26.25" thickBot="1" x14ac:dyDescent="0.3">
      <c r="A92" s="23" t="s">
        <v>66</v>
      </c>
      <c r="B92" s="40"/>
      <c r="C92" s="23" t="s">
        <v>84</v>
      </c>
      <c r="D92" s="202">
        <f>D93</f>
        <v>6590100</v>
      </c>
      <c r="E92" s="202">
        <f t="shared" ref="E92:J92" si="36">E93</f>
        <v>6029335.8600000003</v>
      </c>
      <c r="F92" s="202">
        <f t="shared" si="36"/>
        <v>6413870.2800000003</v>
      </c>
      <c r="G92" s="202">
        <f t="shared" si="36"/>
        <v>6705615.8700000001</v>
      </c>
      <c r="H92" s="202">
        <f t="shared" si="36"/>
        <v>6705615.8700000001</v>
      </c>
      <c r="I92" s="202">
        <f t="shared" si="36"/>
        <v>6705616</v>
      </c>
      <c r="J92" s="202">
        <f t="shared" si="36"/>
        <v>6705616</v>
      </c>
      <c r="K92" s="182">
        <f t="shared" si="33"/>
        <v>45855769.880000003</v>
      </c>
    </row>
    <row r="93" spans="1:11" ht="45.75" customHeight="1" thickBot="1" x14ac:dyDescent="0.3">
      <c r="A93" s="35"/>
      <c r="B93" s="548" t="s">
        <v>128</v>
      </c>
      <c r="C93" s="35" t="s">
        <v>53</v>
      </c>
      <c r="D93" s="102">
        <v>6590100</v>
      </c>
      <c r="E93" s="103">
        <v>6029335.8600000003</v>
      </c>
      <c r="F93" s="201">
        <f>6029335.86+384534.42</f>
        <v>6413870.2800000003</v>
      </c>
      <c r="G93" s="201">
        <v>6705615.8700000001</v>
      </c>
      <c r="H93" s="201">
        <v>6705615.8700000001</v>
      </c>
      <c r="I93" s="201">
        <v>6705616</v>
      </c>
      <c r="J93" s="201">
        <v>6705616</v>
      </c>
      <c r="K93" s="182">
        <f t="shared" si="33"/>
        <v>45855769.880000003</v>
      </c>
    </row>
    <row r="94" spans="1:11" s="1" customFormat="1" ht="39" thickBot="1" x14ac:dyDescent="0.3">
      <c r="A94" s="470" t="s">
        <v>66</v>
      </c>
      <c r="B94" s="559"/>
      <c r="C94" s="470" t="s">
        <v>190</v>
      </c>
      <c r="D94" s="211">
        <f>D95</f>
        <v>22438000</v>
      </c>
      <c r="E94" s="211">
        <f t="shared" ref="E94:J94" si="37">E95</f>
        <v>21243452</v>
      </c>
      <c r="F94" s="211">
        <f t="shared" si="37"/>
        <v>22190295.579999998</v>
      </c>
      <c r="G94" s="211">
        <f t="shared" si="37"/>
        <v>19198596.66</v>
      </c>
      <c r="H94" s="211">
        <f t="shared" si="37"/>
        <v>19198596.66</v>
      </c>
      <c r="I94" s="211">
        <f t="shared" si="37"/>
        <v>19198596.66</v>
      </c>
      <c r="J94" s="211">
        <f t="shared" si="37"/>
        <v>19198596.66</v>
      </c>
      <c r="K94" s="182">
        <f t="shared" si="33"/>
        <v>142666134.22</v>
      </c>
    </row>
    <row r="95" spans="1:11" ht="43.5" customHeight="1" thickBot="1" x14ac:dyDescent="0.3">
      <c r="A95" s="35"/>
      <c r="B95" s="548" t="s">
        <v>129</v>
      </c>
      <c r="C95" s="35" t="s">
        <v>54</v>
      </c>
      <c r="D95" s="102">
        <v>22438000</v>
      </c>
      <c r="E95" s="103">
        <v>21243452</v>
      </c>
      <c r="F95" s="201">
        <f>21243452+946843.58</f>
        <v>22190295.579999998</v>
      </c>
      <c r="G95" s="201">
        <v>19198596.66</v>
      </c>
      <c r="H95" s="201">
        <v>19198596.66</v>
      </c>
      <c r="I95" s="201">
        <v>19198596.66</v>
      </c>
      <c r="J95" s="201">
        <v>19198596.66</v>
      </c>
      <c r="K95" s="182">
        <f t="shared" si="33"/>
        <v>142666134.22</v>
      </c>
    </row>
    <row r="96" spans="1:11" s="1" customFormat="1" ht="15.75" thickBot="1" x14ac:dyDescent="0.3">
      <c r="A96" s="23" t="s">
        <v>66</v>
      </c>
      <c r="B96" s="40"/>
      <c r="C96" s="23" t="s">
        <v>85</v>
      </c>
      <c r="D96" s="202">
        <f>D97+D98</f>
        <v>37697900</v>
      </c>
      <c r="E96" s="202">
        <f t="shared" ref="E96:J96" si="38">E97+E98</f>
        <v>38820600</v>
      </c>
      <c r="F96" s="202">
        <f t="shared" si="38"/>
        <v>38384167.079999998</v>
      </c>
      <c r="G96" s="202">
        <f t="shared" si="38"/>
        <v>36596104.5</v>
      </c>
      <c r="H96" s="202">
        <f t="shared" si="38"/>
        <v>36596104.5</v>
      </c>
      <c r="I96" s="202">
        <f t="shared" si="38"/>
        <v>36596104.5</v>
      </c>
      <c r="J96" s="202">
        <f t="shared" si="38"/>
        <v>36596104.5</v>
      </c>
      <c r="K96" s="182">
        <f t="shared" si="33"/>
        <v>261287085.07999998</v>
      </c>
    </row>
    <row r="97" spans="1:11" ht="51" x14ac:dyDescent="0.25">
      <c r="A97" s="32"/>
      <c r="B97" s="74" t="s">
        <v>130</v>
      </c>
      <c r="C97" s="32" t="s">
        <v>39</v>
      </c>
      <c r="D97" s="85">
        <v>948700</v>
      </c>
      <c r="E97" s="99">
        <v>0</v>
      </c>
      <c r="F97" s="205">
        <v>1030245.5</v>
      </c>
      <c r="G97" s="205">
        <v>1030245.5</v>
      </c>
      <c r="H97" s="205">
        <v>1030245.5</v>
      </c>
      <c r="I97" s="205">
        <v>1030245.5</v>
      </c>
      <c r="J97" s="205">
        <v>1030245.5</v>
      </c>
      <c r="K97" s="543">
        <f t="shared" si="33"/>
        <v>6099927.5</v>
      </c>
    </row>
    <row r="98" spans="1:11" ht="15.75" thickBot="1" x14ac:dyDescent="0.3">
      <c r="A98" s="30"/>
      <c r="B98" s="551" t="s">
        <v>131</v>
      </c>
      <c r="C98" s="30" t="s">
        <v>55</v>
      </c>
      <c r="D98" s="93">
        <v>36749200</v>
      </c>
      <c r="E98" s="98">
        <v>38820600</v>
      </c>
      <c r="F98" s="204">
        <f>38820600-1550412.89+83734.47</f>
        <v>37353921.579999998</v>
      </c>
      <c r="G98" s="204">
        <v>35565859</v>
      </c>
      <c r="H98" s="204">
        <v>35565859</v>
      </c>
      <c r="I98" s="204">
        <v>35565859</v>
      </c>
      <c r="J98" s="204">
        <v>35565859</v>
      </c>
      <c r="K98" s="552">
        <f t="shared" si="33"/>
        <v>255187157.57999998</v>
      </c>
    </row>
    <row r="99" spans="1:11" x14ac:dyDescent="0.25">
      <c r="A99" s="1057" t="s">
        <v>4</v>
      </c>
      <c r="B99" s="1036"/>
      <c r="C99" s="447" t="s">
        <v>95</v>
      </c>
      <c r="D99" s="159">
        <f>D102+D109+D114</f>
        <v>75327200</v>
      </c>
      <c r="E99" s="159">
        <f t="shared" ref="E99:J99" si="39">E102+E109+E114</f>
        <v>75225288.870000005</v>
      </c>
      <c r="F99" s="192">
        <f t="shared" si="39"/>
        <v>78552863.050000012</v>
      </c>
      <c r="G99" s="192">
        <f t="shared" si="39"/>
        <v>148946856.55999997</v>
      </c>
      <c r="H99" s="192">
        <f t="shared" si="39"/>
        <v>149208492.55999997</v>
      </c>
      <c r="I99" s="192">
        <f t="shared" si="39"/>
        <v>148640010.51999998</v>
      </c>
      <c r="J99" s="192">
        <f t="shared" si="39"/>
        <v>148640010.51999998</v>
      </c>
      <c r="K99" s="172">
        <f t="shared" ref="K99:K109" si="40">D99+E99+F99+G99+H99+I99+J99</f>
        <v>824540722.07999992</v>
      </c>
    </row>
    <row r="100" spans="1:11" x14ac:dyDescent="0.25">
      <c r="A100" s="1058"/>
      <c r="B100" s="1037"/>
      <c r="C100" s="161" t="s">
        <v>161</v>
      </c>
      <c r="D100" s="173">
        <f>0</f>
        <v>0</v>
      </c>
      <c r="E100" s="173">
        <f>0</f>
        <v>0</v>
      </c>
      <c r="F100" s="199">
        <f>0</f>
        <v>0</v>
      </c>
      <c r="G100" s="199">
        <f>0</f>
        <v>0</v>
      </c>
      <c r="H100" s="199">
        <f>0</f>
        <v>0</v>
      </c>
      <c r="I100" s="199">
        <f>0</f>
        <v>0</v>
      </c>
      <c r="J100" s="199">
        <f>0</f>
        <v>0</v>
      </c>
      <c r="K100" s="164">
        <f t="shared" si="40"/>
        <v>0</v>
      </c>
    </row>
    <row r="101" spans="1:11" ht="15.75" thickBot="1" x14ac:dyDescent="0.3">
      <c r="A101" s="1059"/>
      <c r="B101" s="1038"/>
      <c r="C101" s="177" t="s">
        <v>162</v>
      </c>
      <c r="D101" s="155">
        <f>D99-D100</f>
        <v>75327200</v>
      </c>
      <c r="E101" s="155">
        <f t="shared" ref="E101:J101" si="41">E99-E100</f>
        <v>75225288.870000005</v>
      </c>
      <c r="F101" s="200">
        <f t="shared" si="41"/>
        <v>78552863.050000012</v>
      </c>
      <c r="G101" s="200">
        <f t="shared" si="41"/>
        <v>148946856.55999997</v>
      </c>
      <c r="H101" s="200">
        <f t="shared" si="41"/>
        <v>149208492.55999997</v>
      </c>
      <c r="I101" s="200">
        <f t="shared" si="41"/>
        <v>148640010.51999998</v>
      </c>
      <c r="J101" s="200">
        <f t="shared" si="41"/>
        <v>148640010.51999998</v>
      </c>
      <c r="K101" s="176">
        <f t="shared" si="40"/>
        <v>824540722.07999992</v>
      </c>
    </row>
    <row r="102" spans="1:11" ht="26.25" thickBot="1" x14ac:dyDescent="0.3">
      <c r="A102" s="19" t="s">
        <v>66</v>
      </c>
      <c r="B102" s="39"/>
      <c r="C102" s="23" t="s">
        <v>86</v>
      </c>
      <c r="D102" s="21">
        <f>D103+D104+D106+D107+D108</f>
        <v>3101500</v>
      </c>
      <c r="E102" s="21">
        <f>E103+E104+E106+E107+E108</f>
        <v>2207412.4</v>
      </c>
      <c r="F102" s="202">
        <f>F104+F105+F106+F107+F108</f>
        <v>1927412.4</v>
      </c>
      <c r="G102" s="202">
        <f>G104+G105+G106+G107+G108</f>
        <v>1421899.94</v>
      </c>
      <c r="H102" s="202">
        <f>H104+H105+H106+H107+H108</f>
        <v>1421899.94</v>
      </c>
      <c r="I102" s="202">
        <f>I104+I105+I106+I107+I108</f>
        <v>1421899.94</v>
      </c>
      <c r="J102" s="202">
        <f>J104+J105+J106+J107+J108</f>
        <v>1421899.94</v>
      </c>
      <c r="K102" s="29">
        <f t="shared" si="40"/>
        <v>12923924.559999999</v>
      </c>
    </row>
    <row r="103" spans="1:11" ht="54" hidden="1" customHeight="1" x14ac:dyDescent="0.25">
      <c r="A103" s="1070"/>
      <c r="B103" s="489" t="s">
        <v>132</v>
      </c>
      <c r="C103" s="510" t="s">
        <v>56</v>
      </c>
      <c r="D103" s="505">
        <v>662200</v>
      </c>
      <c r="E103" s="511">
        <v>0</v>
      </c>
      <c r="F103" s="205">
        <v>0</v>
      </c>
      <c r="G103" s="205">
        <v>0</v>
      </c>
      <c r="H103" s="205">
        <v>0</v>
      </c>
      <c r="I103" s="205">
        <v>0</v>
      </c>
      <c r="J103" s="549">
        <v>0</v>
      </c>
      <c r="K103" s="504">
        <f t="shared" si="40"/>
        <v>662200</v>
      </c>
    </row>
    <row r="104" spans="1:11" ht="94.5" hidden="1" customHeight="1" x14ac:dyDescent="0.25">
      <c r="A104" s="1071"/>
      <c r="B104" s="490" t="s">
        <v>133</v>
      </c>
      <c r="C104" s="494" t="s">
        <v>478</v>
      </c>
      <c r="D104" s="493">
        <f>370300+69800+295200</f>
        <v>735300</v>
      </c>
      <c r="E104" s="492">
        <f>440316.4+69996+295200</f>
        <v>805512.4</v>
      </c>
      <c r="F104" s="197">
        <v>585942.4</v>
      </c>
      <c r="G104" s="197">
        <v>0</v>
      </c>
      <c r="H104" s="197">
        <v>0</v>
      </c>
      <c r="I104" s="197">
        <v>0</v>
      </c>
      <c r="J104" s="550">
        <v>0</v>
      </c>
      <c r="K104" s="495">
        <f t="shared" si="40"/>
        <v>2126754.7999999998</v>
      </c>
    </row>
    <row r="105" spans="1:11" ht="130.5" customHeight="1" x14ac:dyDescent="0.25">
      <c r="A105" s="1071"/>
      <c r="B105" s="546" t="s">
        <v>475</v>
      </c>
      <c r="C105" s="655" t="s">
        <v>488</v>
      </c>
      <c r="D105" s="91"/>
      <c r="E105" s="92"/>
      <c r="F105" s="197">
        <v>219570</v>
      </c>
      <c r="G105" s="197">
        <f>175300+124700</f>
        <v>300000</v>
      </c>
      <c r="H105" s="197">
        <f>175300+124700</f>
        <v>300000</v>
      </c>
      <c r="I105" s="197">
        <f>175300+124700</f>
        <v>300000</v>
      </c>
      <c r="J105" s="197">
        <f>175300+124700</f>
        <v>300000</v>
      </c>
      <c r="K105" s="545">
        <f t="shared" si="40"/>
        <v>1419570</v>
      </c>
    </row>
    <row r="106" spans="1:11" ht="69" customHeight="1" x14ac:dyDescent="0.25">
      <c r="A106" s="1071"/>
      <c r="B106" s="546" t="s">
        <v>476</v>
      </c>
      <c r="C106" s="14" t="s">
        <v>412</v>
      </c>
      <c r="D106" s="91">
        <v>470000</v>
      </c>
      <c r="E106" s="92">
        <v>400000</v>
      </c>
      <c r="F106" s="197">
        <f>400000-280000</f>
        <v>120000</v>
      </c>
      <c r="G106" s="197">
        <f>65000+55000</f>
        <v>120000</v>
      </c>
      <c r="H106" s="197">
        <f>65000+55000</f>
        <v>120000</v>
      </c>
      <c r="I106" s="197">
        <f>65000+55000</f>
        <v>120000</v>
      </c>
      <c r="J106" s="197">
        <f>65000+55000</f>
        <v>120000</v>
      </c>
      <c r="K106" s="545">
        <f t="shared" si="40"/>
        <v>1470000</v>
      </c>
    </row>
    <row r="107" spans="1:11" ht="70.5" hidden="1" customHeight="1" x14ac:dyDescent="0.25">
      <c r="A107" s="1071"/>
      <c r="B107" s="43"/>
      <c r="C107" s="483" t="s">
        <v>196</v>
      </c>
      <c r="D107" s="499">
        <v>967800</v>
      </c>
      <c r="E107" s="500">
        <v>0</v>
      </c>
      <c r="F107" s="198">
        <v>0</v>
      </c>
      <c r="G107" s="198">
        <v>0</v>
      </c>
      <c r="H107" s="198">
        <v>0</v>
      </c>
      <c r="I107" s="198">
        <v>0</v>
      </c>
      <c r="J107" s="556">
        <v>0</v>
      </c>
      <c r="K107" s="495">
        <f t="shared" si="40"/>
        <v>967800</v>
      </c>
    </row>
    <row r="108" spans="1:11" ht="118.5" customHeight="1" thickBot="1" x14ac:dyDescent="0.3">
      <c r="A108" s="1072"/>
      <c r="B108" s="551" t="s">
        <v>134</v>
      </c>
      <c r="C108" s="30" t="s">
        <v>57</v>
      </c>
      <c r="D108" s="93">
        <v>266200</v>
      </c>
      <c r="E108" s="98">
        <v>1001900</v>
      </c>
      <c r="F108" s="204">
        <v>1001900</v>
      </c>
      <c r="G108" s="204">
        <v>1001899.94</v>
      </c>
      <c r="H108" s="204">
        <v>1001899.94</v>
      </c>
      <c r="I108" s="204">
        <v>1001899.94</v>
      </c>
      <c r="J108" s="204">
        <v>1001899.94</v>
      </c>
      <c r="K108" s="545">
        <f t="shared" si="40"/>
        <v>6277599.7599999998</v>
      </c>
    </row>
    <row r="109" spans="1:11" ht="39" thickBot="1" x14ac:dyDescent="0.3">
      <c r="A109" s="23" t="s">
        <v>66</v>
      </c>
      <c r="B109" s="40"/>
      <c r="C109" s="23" t="s">
        <v>87</v>
      </c>
      <c r="D109" s="202">
        <f>D110+D111+D112+D113</f>
        <v>72165700</v>
      </c>
      <c r="E109" s="202">
        <f t="shared" ref="E109:J109" si="42">E110+E111+E112+E113</f>
        <v>72957876.469999999</v>
      </c>
      <c r="F109" s="202">
        <f t="shared" si="42"/>
        <v>76565450.650000006</v>
      </c>
      <c r="G109" s="202">
        <f t="shared" si="42"/>
        <v>147464956.61999997</v>
      </c>
      <c r="H109" s="202">
        <f t="shared" si="42"/>
        <v>147726592.61999997</v>
      </c>
      <c r="I109" s="202">
        <f t="shared" si="42"/>
        <v>147158110.57999998</v>
      </c>
      <c r="J109" s="202">
        <f t="shared" si="42"/>
        <v>147158110.57999998</v>
      </c>
      <c r="K109" s="182">
        <f t="shared" si="40"/>
        <v>811196797.51999998</v>
      </c>
    </row>
    <row r="110" spans="1:11" ht="51" x14ac:dyDescent="0.25">
      <c r="A110" s="1039"/>
      <c r="B110" s="74" t="s">
        <v>135</v>
      </c>
      <c r="C110" s="32" t="s">
        <v>58</v>
      </c>
      <c r="D110" s="85">
        <v>59794600</v>
      </c>
      <c r="E110" s="99">
        <v>63755300</v>
      </c>
      <c r="F110" s="205">
        <f>63755300+305242</f>
        <v>64060542</v>
      </c>
      <c r="G110" s="205">
        <v>133157813.2</v>
      </c>
      <c r="H110" s="205">
        <v>133419449.2</v>
      </c>
      <c r="I110" s="205">
        <v>132850967.16</v>
      </c>
      <c r="J110" s="205">
        <v>132850967.16</v>
      </c>
      <c r="K110" s="543">
        <f t="shared" ref="K110:K115" si="43">D110+E110+F110+G110+H110+I110+J110</f>
        <v>719889638.71999991</v>
      </c>
    </row>
    <row r="111" spans="1:11" ht="140.25" hidden="1" x14ac:dyDescent="0.25">
      <c r="A111" s="1044"/>
      <c r="B111" s="546" t="s">
        <v>136</v>
      </c>
      <c r="C111" s="14" t="s">
        <v>59</v>
      </c>
      <c r="D111" s="91">
        <v>793500</v>
      </c>
      <c r="E111" s="92">
        <v>5000</v>
      </c>
      <c r="F111" s="197">
        <v>5000</v>
      </c>
      <c r="G111" s="197">
        <v>0</v>
      </c>
      <c r="H111" s="197">
        <v>0</v>
      </c>
      <c r="I111" s="197">
        <v>0</v>
      </c>
      <c r="J111" s="550">
        <v>0</v>
      </c>
      <c r="K111" s="545">
        <f t="shared" si="43"/>
        <v>803500</v>
      </c>
    </row>
    <row r="112" spans="1:11" ht="51" x14ac:dyDescent="0.25">
      <c r="A112" s="1044"/>
      <c r="B112" s="546" t="s">
        <v>137</v>
      </c>
      <c r="C112" s="14" t="s">
        <v>60</v>
      </c>
      <c r="D112" s="91">
        <v>5142700</v>
      </c>
      <c r="E112" s="92">
        <v>2442883.7000000002</v>
      </c>
      <c r="F112" s="197">
        <v>2442883.7200000002</v>
      </c>
      <c r="G112" s="197">
        <v>5000000</v>
      </c>
      <c r="H112" s="197">
        <v>5000000</v>
      </c>
      <c r="I112" s="197">
        <v>5000000</v>
      </c>
      <c r="J112" s="197">
        <v>5000000</v>
      </c>
      <c r="K112" s="545">
        <f t="shared" si="43"/>
        <v>30028467.420000002</v>
      </c>
    </row>
    <row r="113" spans="1:11" ht="102.75" thickBot="1" x14ac:dyDescent="0.3">
      <c r="A113" s="1040"/>
      <c r="B113" s="551" t="s">
        <v>138</v>
      </c>
      <c r="C113" s="30" t="s">
        <v>61</v>
      </c>
      <c r="D113" s="93">
        <v>6434900</v>
      </c>
      <c r="E113" s="98">
        <v>6754692.7699999996</v>
      </c>
      <c r="F113" s="204">
        <f>6756700+3300324.93</f>
        <v>10057024.93</v>
      </c>
      <c r="G113" s="204">
        <v>9307143.4199999999</v>
      </c>
      <c r="H113" s="204">
        <v>9307143.4199999999</v>
      </c>
      <c r="I113" s="204">
        <v>9307143.4199999999</v>
      </c>
      <c r="J113" s="204">
        <v>9307143.4199999999</v>
      </c>
      <c r="K113" s="552">
        <f t="shared" si="43"/>
        <v>60475191.380000003</v>
      </c>
    </row>
    <row r="114" spans="1:11" ht="51.75" thickBot="1" x14ac:dyDescent="0.3">
      <c r="A114" s="23" t="s">
        <v>66</v>
      </c>
      <c r="B114" s="40"/>
      <c r="C114" s="23" t="s">
        <v>88</v>
      </c>
      <c r="D114" s="202">
        <f>D115</f>
        <v>60000</v>
      </c>
      <c r="E114" s="202">
        <f t="shared" ref="E114:J114" si="44">E115</f>
        <v>60000</v>
      </c>
      <c r="F114" s="202">
        <f t="shared" si="44"/>
        <v>60000</v>
      </c>
      <c r="G114" s="202">
        <f t="shared" si="44"/>
        <v>60000</v>
      </c>
      <c r="H114" s="202">
        <f t="shared" si="44"/>
        <v>60000</v>
      </c>
      <c r="I114" s="202">
        <f t="shared" si="44"/>
        <v>60000</v>
      </c>
      <c r="J114" s="202">
        <f t="shared" si="44"/>
        <v>60000</v>
      </c>
      <c r="K114" s="182">
        <f t="shared" si="43"/>
        <v>420000</v>
      </c>
    </row>
    <row r="115" spans="1:11" ht="51.75" thickBot="1" x14ac:dyDescent="0.3">
      <c r="A115" s="35"/>
      <c r="B115" s="548" t="s">
        <v>139</v>
      </c>
      <c r="C115" s="36" t="s">
        <v>62</v>
      </c>
      <c r="D115" s="102">
        <v>60000</v>
      </c>
      <c r="E115" s="103">
        <v>60000</v>
      </c>
      <c r="F115" s="201">
        <v>60000</v>
      </c>
      <c r="G115" s="201">
        <f>30000+25000+5000</f>
        <v>60000</v>
      </c>
      <c r="H115" s="201">
        <f>30000+25000+5000</f>
        <v>60000</v>
      </c>
      <c r="I115" s="201">
        <f>30000+25000+5000</f>
        <v>60000</v>
      </c>
      <c r="J115" s="684">
        <v>60000</v>
      </c>
      <c r="K115" s="182">
        <f t="shared" si="43"/>
        <v>420000</v>
      </c>
    </row>
    <row r="116" spans="1:11" ht="25.5" x14ac:dyDescent="0.25">
      <c r="A116" s="1030" t="s">
        <v>4</v>
      </c>
      <c r="B116" s="1033"/>
      <c r="C116" s="471" t="s">
        <v>89</v>
      </c>
      <c r="D116" s="192">
        <f t="shared" ref="D116:J116" si="45">D119</f>
        <v>2961964300</v>
      </c>
      <c r="E116" s="192">
        <f t="shared" si="45"/>
        <v>3997725000</v>
      </c>
      <c r="F116" s="192">
        <f t="shared" si="45"/>
        <v>3894508000</v>
      </c>
      <c r="G116" s="192">
        <f t="shared" si="45"/>
        <v>3893885500</v>
      </c>
      <c r="H116" s="192">
        <f t="shared" si="45"/>
        <v>3893885500</v>
      </c>
      <c r="I116" s="192">
        <f t="shared" si="45"/>
        <v>3893885500</v>
      </c>
      <c r="J116" s="192">
        <f t="shared" si="45"/>
        <v>3893885500</v>
      </c>
      <c r="K116" s="533">
        <f t="shared" ref="K116:K136" si="46">D116+E116+F116+G116+H116+I116+J116</f>
        <v>26429739300</v>
      </c>
    </row>
    <row r="117" spans="1:11" x14ac:dyDescent="0.25">
      <c r="A117" s="1031"/>
      <c r="B117" s="1034"/>
      <c r="C117" s="161" t="s">
        <v>161</v>
      </c>
      <c r="D117" s="199">
        <f>0</f>
        <v>0</v>
      </c>
      <c r="E117" s="199">
        <f>0</f>
        <v>0</v>
      </c>
      <c r="F117" s="199">
        <f>0</f>
        <v>0</v>
      </c>
      <c r="G117" s="199">
        <f>0</f>
        <v>0</v>
      </c>
      <c r="H117" s="199">
        <f>0</f>
        <v>0</v>
      </c>
      <c r="I117" s="199">
        <f>0</f>
        <v>0</v>
      </c>
      <c r="J117" s="199">
        <f>0</f>
        <v>0</v>
      </c>
      <c r="K117" s="534">
        <f t="shared" si="46"/>
        <v>0</v>
      </c>
    </row>
    <row r="118" spans="1:11" ht="15.75" thickBot="1" x14ac:dyDescent="0.3">
      <c r="A118" s="1032"/>
      <c r="B118" s="1035"/>
      <c r="C118" s="177" t="s">
        <v>162</v>
      </c>
      <c r="D118" s="200">
        <f>D116-D117</f>
        <v>2961964300</v>
      </c>
      <c r="E118" s="200">
        <f t="shared" ref="E118:J118" si="47">E116-E117</f>
        <v>3997725000</v>
      </c>
      <c r="F118" s="200">
        <f t="shared" si="47"/>
        <v>3894508000</v>
      </c>
      <c r="G118" s="200">
        <f t="shared" si="47"/>
        <v>3893885500</v>
      </c>
      <c r="H118" s="200">
        <f t="shared" si="47"/>
        <v>3893885500</v>
      </c>
      <c r="I118" s="200">
        <f t="shared" si="47"/>
        <v>3893885500</v>
      </c>
      <c r="J118" s="200">
        <f t="shared" si="47"/>
        <v>3893885500</v>
      </c>
      <c r="K118" s="535">
        <f t="shared" si="46"/>
        <v>26429739300</v>
      </c>
    </row>
    <row r="119" spans="1:11" ht="39" thickBot="1" x14ac:dyDescent="0.3">
      <c r="A119" s="23" t="s">
        <v>90</v>
      </c>
      <c r="B119" s="40"/>
      <c r="C119" s="23" t="s">
        <v>91</v>
      </c>
      <c r="D119" s="202">
        <f>D120</f>
        <v>2961964300</v>
      </c>
      <c r="E119" s="202">
        <f>E120</f>
        <v>3997725000</v>
      </c>
      <c r="F119" s="202">
        <f>F120+F121</f>
        <v>3894508000</v>
      </c>
      <c r="G119" s="202">
        <f>G120+G121</f>
        <v>3893885500</v>
      </c>
      <c r="H119" s="202">
        <f>H120+H121</f>
        <v>3893885500</v>
      </c>
      <c r="I119" s="202">
        <f>I120+I121</f>
        <v>3893885500</v>
      </c>
      <c r="J119" s="202">
        <f>J120+J121</f>
        <v>3893885500</v>
      </c>
      <c r="K119" s="182">
        <f t="shared" si="46"/>
        <v>26429739300</v>
      </c>
    </row>
    <row r="120" spans="1:11" ht="38.25" x14ac:dyDescent="0.25">
      <c r="A120" s="1039"/>
      <c r="B120" s="657" t="s">
        <v>140</v>
      </c>
      <c r="C120" s="656" t="s">
        <v>63</v>
      </c>
      <c r="D120" s="659">
        <v>2961964300</v>
      </c>
      <c r="E120" s="658">
        <v>3997725000</v>
      </c>
      <c r="F120" s="680">
        <v>3894508000</v>
      </c>
      <c r="G120" s="680">
        <v>0</v>
      </c>
      <c r="H120" s="680">
        <v>0</v>
      </c>
      <c r="I120" s="680">
        <v>0</v>
      </c>
      <c r="J120" s="680">
        <v>0</v>
      </c>
      <c r="K120" s="543">
        <f t="shared" si="46"/>
        <v>10854197300</v>
      </c>
    </row>
    <row r="121" spans="1:11" ht="26.25" thickBot="1" x14ac:dyDescent="0.3">
      <c r="A121" s="1040"/>
      <c r="B121" s="551" t="s">
        <v>486</v>
      </c>
      <c r="C121" s="30" t="s">
        <v>487</v>
      </c>
      <c r="D121" s="139"/>
      <c r="E121" s="98"/>
      <c r="F121" s="204">
        <v>0</v>
      </c>
      <c r="G121" s="204">
        <v>3893885500</v>
      </c>
      <c r="H121" s="204">
        <v>3893885500</v>
      </c>
      <c r="I121" s="204">
        <v>3893885500</v>
      </c>
      <c r="J121" s="204">
        <v>3893885500</v>
      </c>
      <c r="K121" s="552">
        <f t="shared" si="46"/>
        <v>15575542000</v>
      </c>
    </row>
    <row r="122" spans="1:11" ht="25.5" x14ac:dyDescent="0.25">
      <c r="A122" s="1030" t="s">
        <v>4</v>
      </c>
      <c r="B122" s="1033"/>
      <c r="C122" s="471" t="s">
        <v>92</v>
      </c>
      <c r="D122" s="192">
        <f t="shared" ref="D122:J123" si="48">D125</f>
        <v>2084100</v>
      </c>
      <c r="E122" s="192">
        <f t="shared" si="48"/>
        <v>1875700</v>
      </c>
      <c r="F122" s="192">
        <f t="shared" si="48"/>
        <v>1875700</v>
      </c>
      <c r="G122" s="192">
        <f t="shared" si="48"/>
        <v>1980700</v>
      </c>
      <c r="H122" s="192">
        <f t="shared" si="48"/>
        <v>1980700</v>
      </c>
      <c r="I122" s="192">
        <f t="shared" si="48"/>
        <v>1980700</v>
      </c>
      <c r="J122" s="192">
        <f t="shared" si="48"/>
        <v>0</v>
      </c>
      <c r="K122" s="533">
        <f t="shared" si="46"/>
        <v>11777600</v>
      </c>
    </row>
    <row r="123" spans="1:11" x14ac:dyDescent="0.25">
      <c r="A123" s="1031"/>
      <c r="B123" s="1034"/>
      <c r="C123" s="161" t="s">
        <v>161</v>
      </c>
      <c r="D123" s="199">
        <f t="shared" ref="D123:I123" si="49">D126</f>
        <v>2084100</v>
      </c>
      <c r="E123" s="199">
        <f t="shared" si="49"/>
        <v>1875700</v>
      </c>
      <c r="F123" s="199">
        <f t="shared" si="49"/>
        <v>1875700</v>
      </c>
      <c r="G123" s="199">
        <f t="shared" si="49"/>
        <v>1980700</v>
      </c>
      <c r="H123" s="199">
        <f t="shared" si="49"/>
        <v>1980700</v>
      </c>
      <c r="I123" s="199">
        <f t="shared" si="49"/>
        <v>1980700</v>
      </c>
      <c r="J123" s="199">
        <f t="shared" si="48"/>
        <v>0</v>
      </c>
      <c r="K123" s="534">
        <f t="shared" si="46"/>
        <v>11777600</v>
      </c>
    </row>
    <row r="124" spans="1:11" ht="15.75" thickBot="1" x14ac:dyDescent="0.3">
      <c r="A124" s="1032"/>
      <c r="B124" s="1035"/>
      <c r="C124" s="177" t="s">
        <v>162</v>
      </c>
      <c r="D124" s="200">
        <f>D122-D123</f>
        <v>0</v>
      </c>
      <c r="E124" s="200">
        <f t="shared" ref="E124:J124" si="50">E122-E123</f>
        <v>0</v>
      </c>
      <c r="F124" s="200">
        <f t="shared" si="50"/>
        <v>0</v>
      </c>
      <c r="G124" s="200">
        <f t="shared" si="50"/>
        <v>0</v>
      </c>
      <c r="H124" s="200">
        <f t="shared" si="50"/>
        <v>0</v>
      </c>
      <c r="I124" s="200">
        <f t="shared" si="50"/>
        <v>0</v>
      </c>
      <c r="J124" s="200">
        <f t="shared" si="50"/>
        <v>0</v>
      </c>
      <c r="K124" s="535">
        <f t="shared" si="46"/>
        <v>0</v>
      </c>
    </row>
    <row r="125" spans="1:11" ht="39" thickBot="1" x14ac:dyDescent="0.3">
      <c r="A125" s="23" t="s">
        <v>66</v>
      </c>
      <c r="B125" s="40"/>
      <c r="C125" s="23" t="s">
        <v>93</v>
      </c>
      <c r="D125" s="202">
        <f>D126</f>
        <v>2084100</v>
      </c>
      <c r="E125" s="202">
        <f t="shared" ref="E125:J125" si="51">E126</f>
        <v>1875700</v>
      </c>
      <c r="F125" s="202">
        <f t="shared" si="51"/>
        <v>1875700</v>
      </c>
      <c r="G125" s="202">
        <f t="shared" si="51"/>
        <v>1980700</v>
      </c>
      <c r="H125" s="202">
        <f t="shared" si="51"/>
        <v>1980700</v>
      </c>
      <c r="I125" s="202">
        <f t="shared" si="51"/>
        <v>1980700</v>
      </c>
      <c r="J125" s="202">
        <f t="shared" si="51"/>
        <v>0</v>
      </c>
      <c r="K125" s="182">
        <f t="shared" si="46"/>
        <v>11777600</v>
      </c>
    </row>
    <row r="126" spans="1:11" ht="64.5" thickBot="1" x14ac:dyDescent="0.3">
      <c r="A126" s="35"/>
      <c r="B126" s="548" t="s">
        <v>141</v>
      </c>
      <c r="C126" s="35" t="s">
        <v>64</v>
      </c>
      <c r="D126" s="102">
        <v>2084100</v>
      </c>
      <c r="E126" s="103">
        <v>1875700</v>
      </c>
      <c r="F126" s="201">
        <v>1875700</v>
      </c>
      <c r="G126" s="201">
        <v>1980700</v>
      </c>
      <c r="H126" s="201">
        <v>1980700</v>
      </c>
      <c r="I126" s="201">
        <v>1980700</v>
      </c>
      <c r="J126" s="684">
        <v>0</v>
      </c>
      <c r="K126" s="182">
        <f t="shared" si="46"/>
        <v>11777600</v>
      </c>
    </row>
    <row r="127" spans="1:11" x14ac:dyDescent="0.25">
      <c r="A127" s="1030" t="s">
        <v>4</v>
      </c>
      <c r="B127" s="1033"/>
      <c r="C127" s="471" t="s">
        <v>38</v>
      </c>
      <c r="D127" s="192">
        <f>D130</f>
        <v>8894300</v>
      </c>
      <c r="E127" s="192">
        <f t="shared" ref="E127:J127" si="52">E130</f>
        <v>11069675</v>
      </c>
      <c r="F127" s="192">
        <f t="shared" si="52"/>
        <v>9005190</v>
      </c>
      <c r="G127" s="192">
        <f t="shared" si="52"/>
        <v>8104671</v>
      </c>
      <c r="H127" s="192">
        <f t="shared" si="52"/>
        <v>8104671</v>
      </c>
      <c r="I127" s="192">
        <f t="shared" si="52"/>
        <v>8104671</v>
      </c>
      <c r="J127" s="192">
        <f t="shared" si="52"/>
        <v>8104671</v>
      </c>
      <c r="K127" s="533">
        <f t="shared" si="46"/>
        <v>61387849</v>
      </c>
    </row>
    <row r="128" spans="1:11" x14ac:dyDescent="0.25">
      <c r="A128" s="1031"/>
      <c r="B128" s="1034"/>
      <c r="C128" s="161" t="s">
        <v>161</v>
      </c>
      <c r="D128" s="199">
        <f>D131+D133</f>
        <v>8449500</v>
      </c>
      <c r="E128" s="199">
        <f t="shared" ref="E128:J128" si="53">E131+E133</f>
        <v>0</v>
      </c>
      <c r="F128" s="199">
        <f t="shared" si="53"/>
        <v>0</v>
      </c>
      <c r="G128" s="199">
        <f t="shared" si="53"/>
        <v>0</v>
      </c>
      <c r="H128" s="199">
        <f t="shared" si="53"/>
        <v>0</v>
      </c>
      <c r="I128" s="199">
        <f t="shared" si="53"/>
        <v>0</v>
      </c>
      <c r="J128" s="199">
        <f t="shared" si="53"/>
        <v>0</v>
      </c>
      <c r="K128" s="534">
        <f t="shared" si="46"/>
        <v>8449500</v>
      </c>
    </row>
    <row r="129" spans="1:11" ht="15.75" thickBot="1" x14ac:dyDescent="0.3">
      <c r="A129" s="1032"/>
      <c r="B129" s="1035"/>
      <c r="C129" s="177" t="s">
        <v>162</v>
      </c>
      <c r="D129" s="200">
        <f>D127-D128</f>
        <v>444800</v>
      </c>
      <c r="E129" s="200">
        <f t="shared" ref="E129:J129" si="54">E127-E128</f>
        <v>11069675</v>
      </c>
      <c r="F129" s="200">
        <f t="shared" si="54"/>
        <v>9005190</v>
      </c>
      <c r="G129" s="200">
        <f t="shared" si="54"/>
        <v>8104671</v>
      </c>
      <c r="H129" s="200">
        <f t="shared" si="54"/>
        <v>8104671</v>
      </c>
      <c r="I129" s="200">
        <f t="shared" si="54"/>
        <v>8104671</v>
      </c>
      <c r="J129" s="200">
        <f t="shared" si="54"/>
        <v>8104671</v>
      </c>
      <c r="K129" s="535">
        <f t="shared" si="46"/>
        <v>52938349</v>
      </c>
    </row>
    <row r="130" spans="1:11" ht="26.25" thickBot="1" x14ac:dyDescent="0.3">
      <c r="A130" s="23" t="s">
        <v>66</v>
      </c>
      <c r="B130" s="40"/>
      <c r="C130" s="23" t="s">
        <v>94</v>
      </c>
      <c r="D130" s="202">
        <f>D131+D132+D133+D134+D135+D136</f>
        <v>8894300</v>
      </c>
      <c r="E130" s="202">
        <f t="shared" ref="E130:J130" si="55">E131+E132+E133+E134+E135+E136</f>
        <v>11069675</v>
      </c>
      <c r="F130" s="202">
        <f t="shared" si="55"/>
        <v>9005190</v>
      </c>
      <c r="G130" s="202">
        <f t="shared" si="55"/>
        <v>8104671</v>
      </c>
      <c r="H130" s="202">
        <f t="shared" si="55"/>
        <v>8104671</v>
      </c>
      <c r="I130" s="202">
        <f t="shared" si="55"/>
        <v>8104671</v>
      </c>
      <c r="J130" s="202">
        <f t="shared" si="55"/>
        <v>8104671</v>
      </c>
      <c r="K130" s="182">
        <f t="shared" si="46"/>
        <v>61387849</v>
      </c>
    </row>
    <row r="131" spans="1:11" ht="43.5" customHeight="1" x14ac:dyDescent="0.25">
      <c r="A131" s="1048"/>
      <c r="B131" s="542"/>
      <c r="C131" s="146" t="s">
        <v>211</v>
      </c>
      <c r="D131" s="114">
        <f>3773.7*1000</f>
        <v>3773700</v>
      </c>
      <c r="E131" s="114">
        <v>0</v>
      </c>
      <c r="F131" s="114">
        <v>0</v>
      </c>
      <c r="G131" s="114">
        <f>F131</f>
        <v>0</v>
      </c>
      <c r="H131" s="114">
        <f t="shared" ref="H131:J134" si="56">G131</f>
        <v>0</v>
      </c>
      <c r="I131" s="114">
        <f t="shared" si="56"/>
        <v>0</v>
      </c>
      <c r="J131" s="114">
        <f t="shared" si="56"/>
        <v>0</v>
      </c>
      <c r="K131" s="543">
        <f t="shared" si="46"/>
        <v>3773700</v>
      </c>
    </row>
    <row r="132" spans="1:11" ht="42.75" customHeight="1" x14ac:dyDescent="0.25">
      <c r="A132" s="1049"/>
      <c r="B132" s="544"/>
      <c r="C132" s="135" t="s">
        <v>212</v>
      </c>
      <c r="D132" s="115">
        <f>198.7*1000</f>
        <v>198700</v>
      </c>
      <c r="E132" s="115">
        <v>0</v>
      </c>
      <c r="F132" s="115">
        <v>0</v>
      </c>
      <c r="G132" s="115">
        <v>0</v>
      </c>
      <c r="H132" s="115">
        <f t="shared" si="56"/>
        <v>0</v>
      </c>
      <c r="I132" s="115">
        <f t="shared" si="56"/>
        <v>0</v>
      </c>
      <c r="J132" s="115">
        <f t="shared" si="56"/>
        <v>0</v>
      </c>
      <c r="K132" s="545">
        <f t="shared" si="46"/>
        <v>198700</v>
      </c>
    </row>
    <row r="133" spans="1:11" ht="44.25" customHeight="1" x14ac:dyDescent="0.25">
      <c r="A133" s="1049"/>
      <c r="B133" s="544"/>
      <c r="C133" s="135" t="s">
        <v>213</v>
      </c>
      <c r="D133" s="115">
        <f>4675.8*1000</f>
        <v>4675800</v>
      </c>
      <c r="E133" s="115">
        <v>0</v>
      </c>
      <c r="F133" s="115">
        <v>0</v>
      </c>
      <c r="G133" s="115">
        <f>F133</f>
        <v>0</v>
      </c>
      <c r="H133" s="115">
        <f t="shared" si="56"/>
        <v>0</v>
      </c>
      <c r="I133" s="115">
        <f t="shared" si="56"/>
        <v>0</v>
      </c>
      <c r="J133" s="115">
        <f t="shared" si="56"/>
        <v>0</v>
      </c>
      <c r="K133" s="545">
        <f t="shared" si="46"/>
        <v>4675800</v>
      </c>
    </row>
    <row r="134" spans="1:11" ht="45" customHeight="1" x14ac:dyDescent="0.25">
      <c r="A134" s="1049"/>
      <c r="B134" s="544"/>
      <c r="C134" s="135" t="s">
        <v>214</v>
      </c>
      <c r="D134" s="116">
        <f>246.1*1000</f>
        <v>246100</v>
      </c>
      <c r="E134" s="116">
        <v>0</v>
      </c>
      <c r="F134" s="116">
        <v>0</v>
      </c>
      <c r="G134" s="116">
        <v>0</v>
      </c>
      <c r="H134" s="116">
        <f t="shared" si="56"/>
        <v>0</v>
      </c>
      <c r="I134" s="116">
        <f t="shared" si="56"/>
        <v>0</v>
      </c>
      <c r="J134" s="116">
        <f t="shared" si="56"/>
        <v>0</v>
      </c>
      <c r="K134" s="545">
        <f t="shared" si="46"/>
        <v>246100</v>
      </c>
    </row>
    <row r="135" spans="1:11" ht="63.75" x14ac:dyDescent="0.25">
      <c r="A135" s="1049"/>
      <c r="B135" s="546" t="s">
        <v>142</v>
      </c>
      <c r="C135" s="22" t="s">
        <v>36</v>
      </c>
      <c r="D135" s="91">
        <v>0</v>
      </c>
      <c r="E135" s="115">
        <v>7505190</v>
      </c>
      <c r="F135" s="197">
        <v>6005190</v>
      </c>
      <c r="G135" s="197">
        <v>5404671</v>
      </c>
      <c r="H135" s="197">
        <v>5404671</v>
      </c>
      <c r="I135" s="197">
        <v>5404671</v>
      </c>
      <c r="J135" s="197">
        <v>5404671</v>
      </c>
      <c r="K135" s="545">
        <f t="shared" si="46"/>
        <v>35129064</v>
      </c>
    </row>
    <row r="136" spans="1:11" ht="111" customHeight="1" thickBot="1" x14ac:dyDescent="0.3">
      <c r="A136" s="1050"/>
      <c r="B136" s="547" t="s">
        <v>143</v>
      </c>
      <c r="C136" s="30" t="s">
        <v>413</v>
      </c>
      <c r="D136" s="139">
        <v>0</v>
      </c>
      <c r="E136" s="117">
        <v>3564485</v>
      </c>
      <c r="F136" s="204">
        <v>3000000</v>
      </c>
      <c r="G136" s="204">
        <v>2700000</v>
      </c>
      <c r="H136" s="204">
        <v>2700000</v>
      </c>
      <c r="I136" s="204">
        <v>2700000</v>
      </c>
      <c r="J136" s="204">
        <v>2700000</v>
      </c>
      <c r="K136" s="545">
        <f t="shared" si="46"/>
        <v>17364485</v>
      </c>
    </row>
    <row r="137" spans="1:11" x14ac:dyDescent="0.25">
      <c r="A137" s="1054" t="s">
        <v>4</v>
      </c>
      <c r="B137" s="1077"/>
      <c r="C137" s="179" t="s">
        <v>37</v>
      </c>
      <c r="D137" s="192">
        <f>D140</f>
        <v>10000000</v>
      </c>
      <c r="E137" s="192">
        <f t="shared" ref="E137:J137" si="57">E140</f>
        <v>1000000</v>
      </c>
      <c r="F137" s="192">
        <f>F138+F139</f>
        <v>1000000</v>
      </c>
      <c r="G137" s="192">
        <f t="shared" si="57"/>
        <v>0</v>
      </c>
      <c r="H137" s="192">
        <f t="shared" si="57"/>
        <v>0</v>
      </c>
      <c r="I137" s="192">
        <f t="shared" si="57"/>
        <v>0</v>
      </c>
      <c r="J137" s="192">
        <f t="shared" si="57"/>
        <v>0</v>
      </c>
      <c r="K137" s="533">
        <f t="shared" ref="K137:K185" si="58">D137+E137+F137+G137+H137+I137+J137</f>
        <v>12000000</v>
      </c>
    </row>
    <row r="138" spans="1:11" x14ac:dyDescent="0.25">
      <c r="A138" s="1055"/>
      <c r="B138" s="1078"/>
      <c r="C138" s="161" t="s">
        <v>161</v>
      </c>
      <c r="D138" s="199">
        <f>D143</f>
        <v>5000000</v>
      </c>
      <c r="E138" s="199">
        <f t="shared" ref="E138:J138" si="59">E143</f>
        <v>500000</v>
      </c>
      <c r="F138" s="199">
        <f>F143</f>
        <v>600000</v>
      </c>
      <c r="G138" s="199">
        <f t="shared" si="59"/>
        <v>0</v>
      </c>
      <c r="H138" s="199">
        <f t="shared" si="59"/>
        <v>0</v>
      </c>
      <c r="I138" s="199">
        <f t="shared" si="59"/>
        <v>0</v>
      </c>
      <c r="J138" s="199">
        <f t="shared" si="59"/>
        <v>0</v>
      </c>
      <c r="K138" s="534">
        <f t="shared" si="58"/>
        <v>6100000</v>
      </c>
    </row>
    <row r="139" spans="1:11" ht="15.75" thickBot="1" x14ac:dyDescent="0.3">
      <c r="A139" s="1056"/>
      <c r="B139" s="1079"/>
      <c r="C139" s="177" t="s">
        <v>162</v>
      </c>
      <c r="D139" s="200">
        <f>D137-D138</f>
        <v>5000000</v>
      </c>
      <c r="E139" s="200">
        <f t="shared" ref="E139:J139" si="60">E137-E138</f>
        <v>500000</v>
      </c>
      <c r="F139" s="200">
        <f>F142</f>
        <v>400000</v>
      </c>
      <c r="G139" s="200">
        <f t="shared" si="60"/>
        <v>0</v>
      </c>
      <c r="H139" s="200">
        <f t="shared" si="60"/>
        <v>0</v>
      </c>
      <c r="I139" s="200">
        <f t="shared" si="60"/>
        <v>0</v>
      </c>
      <c r="J139" s="200">
        <f t="shared" si="60"/>
        <v>0</v>
      </c>
      <c r="K139" s="535">
        <f t="shared" si="58"/>
        <v>5900000</v>
      </c>
    </row>
    <row r="140" spans="1:11" ht="26.25" thickBot="1" x14ac:dyDescent="0.3">
      <c r="A140" s="180" t="s">
        <v>66</v>
      </c>
      <c r="B140" s="181"/>
      <c r="C140" s="38" t="s">
        <v>96</v>
      </c>
      <c r="D140" s="212">
        <f>D141+D142+D143</f>
        <v>10000000</v>
      </c>
      <c r="E140" s="212">
        <f t="shared" ref="E140:J140" si="61">E141+E142+E143</f>
        <v>1000000</v>
      </c>
      <c r="F140" s="212">
        <f t="shared" si="61"/>
        <v>1000000</v>
      </c>
      <c r="G140" s="212">
        <f t="shared" si="61"/>
        <v>0</v>
      </c>
      <c r="H140" s="212">
        <f t="shared" si="61"/>
        <v>0</v>
      </c>
      <c r="I140" s="212">
        <f t="shared" si="61"/>
        <v>0</v>
      </c>
      <c r="J140" s="212">
        <f t="shared" si="61"/>
        <v>0</v>
      </c>
      <c r="K140" s="182">
        <f t="shared" si="58"/>
        <v>12000000</v>
      </c>
    </row>
    <row r="141" spans="1:11" ht="84.75" customHeight="1" x14ac:dyDescent="0.25">
      <c r="A141" s="1045"/>
      <c r="B141" s="536"/>
      <c r="C141" s="75" t="s">
        <v>209</v>
      </c>
      <c r="D141" s="537">
        <v>5000000</v>
      </c>
      <c r="E141" s="538">
        <v>0</v>
      </c>
      <c r="F141" s="213">
        <v>0</v>
      </c>
      <c r="G141" s="213">
        <v>0</v>
      </c>
      <c r="H141" s="213">
        <v>0</v>
      </c>
      <c r="I141" s="213">
        <v>0</v>
      </c>
      <c r="J141" s="539">
        <v>0</v>
      </c>
      <c r="K141" s="184">
        <f t="shared" si="58"/>
        <v>5000000</v>
      </c>
    </row>
    <row r="142" spans="1:11" ht="76.5" x14ac:dyDescent="0.25">
      <c r="A142" s="1046"/>
      <c r="B142" s="525" t="s">
        <v>144</v>
      </c>
      <c r="C142" s="145" t="s">
        <v>35</v>
      </c>
      <c r="D142" s="133">
        <v>0</v>
      </c>
      <c r="E142" s="84">
        <v>500000</v>
      </c>
      <c r="F142" s="197">
        <v>400000</v>
      </c>
      <c r="G142" s="197">
        <v>0</v>
      </c>
      <c r="H142" s="197">
        <v>0</v>
      </c>
      <c r="I142" s="197">
        <v>0</v>
      </c>
      <c r="J142" s="685">
        <v>0</v>
      </c>
      <c r="K142" s="540">
        <f t="shared" si="58"/>
        <v>900000</v>
      </c>
    </row>
    <row r="143" spans="1:11" ht="21" customHeight="1" thickBot="1" x14ac:dyDescent="0.3">
      <c r="A143" s="1047"/>
      <c r="B143" s="185"/>
      <c r="C143" s="141" t="s">
        <v>210</v>
      </c>
      <c r="D143" s="144">
        <v>5000000</v>
      </c>
      <c r="E143" s="256">
        <v>500000</v>
      </c>
      <c r="F143" s="210">
        <v>600000</v>
      </c>
      <c r="G143" s="210">
        <v>0</v>
      </c>
      <c r="H143" s="210">
        <v>0</v>
      </c>
      <c r="I143" s="210">
        <v>0</v>
      </c>
      <c r="J143" s="541">
        <v>0</v>
      </c>
      <c r="K143" s="186">
        <f t="shared" si="58"/>
        <v>6100000</v>
      </c>
    </row>
    <row r="144" spans="1:11" ht="54.75" customHeight="1" thickBot="1" x14ac:dyDescent="0.3">
      <c r="A144" s="257" t="s">
        <v>4</v>
      </c>
      <c r="B144" s="41"/>
      <c r="C144" s="258" t="s">
        <v>278</v>
      </c>
      <c r="D144" s="265">
        <f>D145</f>
        <v>7839427400</v>
      </c>
      <c r="E144" s="265">
        <f t="shared" ref="E144:J144" si="62">E145</f>
        <v>8980440100</v>
      </c>
      <c r="F144" s="265">
        <f t="shared" si="62"/>
        <v>8686826900</v>
      </c>
      <c r="G144" s="265">
        <f t="shared" si="62"/>
        <v>9313583900</v>
      </c>
      <c r="H144" s="265">
        <f t="shared" si="62"/>
        <v>10369593900</v>
      </c>
      <c r="I144" s="265">
        <f t="shared" si="62"/>
        <v>10909676400</v>
      </c>
      <c r="J144" s="265">
        <f t="shared" si="62"/>
        <v>10909676400</v>
      </c>
      <c r="K144" s="188">
        <f t="shared" si="58"/>
        <v>67009225000</v>
      </c>
    </row>
    <row r="145" spans="1:11" ht="57" customHeight="1" thickBot="1" x14ac:dyDescent="0.3">
      <c r="A145" s="261" t="s">
        <v>66</v>
      </c>
      <c r="B145" s="189"/>
      <c r="C145" s="260" t="s">
        <v>279</v>
      </c>
      <c r="D145" s="149">
        <f>D146+D147</f>
        <v>7839427400</v>
      </c>
      <c r="E145" s="149">
        <f t="shared" ref="E145:J145" si="63">E146+E147</f>
        <v>8980440100</v>
      </c>
      <c r="F145" s="149">
        <f t="shared" si="63"/>
        <v>8686826900</v>
      </c>
      <c r="G145" s="149">
        <f t="shared" si="63"/>
        <v>9313583900</v>
      </c>
      <c r="H145" s="149">
        <f t="shared" si="63"/>
        <v>10369593900</v>
      </c>
      <c r="I145" s="149">
        <f t="shared" si="63"/>
        <v>10909676400</v>
      </c>
      <c r="J145" s="149">
        <f t="shared" si="63"/>
        <v>10909676400</v>
      </c>
      <c r="K145" s="250">
        <f t="shared" si="58"/>
        <v>67009225000</v>
      </c>
    </row>
    <row r="146" spans="1:11" ht="40.5" customHeight="1" thickBot="1" x14ac:dyDescent="0.3">
      <c r="A146" s="1060"/>
      <c r="B146" s="262"/>
      <c r="C146" s="654" t="s">
        <v>316</v>
      </c>
      <c r="D146" s="652">
        <v>7671820400</v>
      </c>
      <c r="E146" s="263">
        <v>8763677800</v>
      </c>
      <c r="F146" s="453">
        <v>8401199900</v>
      </c>
      <c r="G146" s="686">
        <v>9313483900</v>
      </c>
      <c r="H146" s="687">
        <v>10369493900</v>
      </c>
      <c r="I146" s="687">
        <v>10909576400</v>
      </c>
      <c r="J146" s="687">
        <v>10909576400</v>
      </c>
      <c r="K146" s="29">
        <f t="shared" si="58"/>
        <v>66338828700</v>
      </c>
    </row>
    <row r="147" spans="1:11" ht="40.5" customHeight="1" thickBot="1" x14ac:dyDescent="0.3">
      <c r="A147" s="1061"/>
      <c r="B147" s="259"/>
      <c r="C147" s="151" t="s">
        <v>317</v>
      </c>
      <c r="D147" s="653">
        <v>167607000</v>
      </c>
      <c r="E147" s="264">
        <v>216762300</v>
      </c>
      <c r="F147" s="454">
        <v>285627000</v>
      </c>
      <c r="G147" s="688">
        <v>100000</v>
      </c>
      <c r="H147" s="689">
        <v>100000</v>
      </c>
      <c r="I147" s="689">
        <v>100000</v>
      </c>
      <c r="J147" s="690">
        <v>100000</v>
      </c>
      <c r="K147" s="34">
        <f t="shared" si="58"/>
        <v>670396300</v>
      </c>
    </row>
    <row r="148" spans="1:11" ht="34.5" customHeight="1" thickBot="1" x14ac:dyDescent="0.3">
      <c r="A148" s="251" t="s">
        <v>65</v>
      </c>
      <c r="B148" s="252"/>
      <c r="C148" s="253" t="s">
        <v>145</v>
      </c>
      <c r="D148" s="254">
        <f t="shared" ref="D148:J148" si="64">D149+D157+D160</f>
        <v>68642100</v>
      </c>
      <c r="E148" s="254">
        <f t="shared" si="64"/>
        <v>68947840.680000007</v>
      </c>
      <c r="F148" s="254">
        <f t="shared" si="64"/>
        <v>67326721.609999999</v>
      </c>
      <c r="G148" s="255">
        <f t="shared" si="64"/>
        <v>62797429.359999992</v>
      </c>
      <c r="H148" s="255">
        <f t="shared" si="64"/>
        <v>62535793.359999992</v>
      </c>
      <c r="I148" s="255">
        <f t="shared" si="64"/>
        <v>63103169.769999996</v>
      </c>
      <c r="J148" s="255">
        <f t="shared" si="64"/>
        <v>63103169.769999996</v>
      </c>
      <c r="K148" s="187">
        <f t="shared" si="58"/>
        <v>456456224.54999995</v>
      </c>
    </row>
    <row r="149" spans="1:11" ht="34.5" customHeight="1" thickBot="1" x14ac:dyDescent="0.3">
      <c r="A149" s="46" t="s">
        <v>4</v>
      </c>
      <c r="B149" s="41"/>
      <c r="C149" s="37" t="s">
        <v>422</v>
      </c>
      <c r="D149" s="111">
        <f t="shared" ref="D149:J149" si="65">D150+D155</f>
        <v>58921600</v>
      </c>
      <c r="E149" s="111">
        <f t="shared" si="65"/>
        <v>59030349.5</v>
      </c>
      <c r="F149" s="111">
        <f t="shared" si="65"/>
        <v>55191880</v>
      </c>
      <c r="G149" s="111">
        <f t="shared" si="65"/>
        <v>52025546.239999995</v>
      </c>
      <c r="H149" s="111">
        <f t="shared" si="65"/>
        <v>52025546.239999995</v>
      </c>
      <c r="I149" s="111">
        <f t="shared" si="65"/>
        <v>52025534.969999999</v>
      </c>
      <c r="J149" s="111">
        <f t="shared" si="65"/>
        <v>52025534.969999999</v>
      </c>
      <c r="K149" s="188">
        <f t="shared" si="58"/>
        <v>381245991.92000008</v>
      </c>
    </row>
    <row r="150" spans="1:11" ht="31.5" customHeight="1" thickBot="1" x14ac:dyDescent="0.3">
      <c r="A150" s="55" t="s">
        <v>66</v>
      </c>
      <c r="B150" s="42"/>
      <c r="C150" s="38" t="s">
        <v>421</v>
      </c>
      <c r="D150" s="112">
        <f t="shared" ref="D150:J150" si="66">D151+D152+D153+D154</f>
        <v>58921600</v>
      </c>
      <c r="E150" s="112">
        <f t="shared" si="66"/>
        <v>59014349.5</v>
      </c>
      <c r="F150" s="112">
        <f t="shared" si="66"/>
        <v>55111880</v>
      </c>
      <c r="G150" s="56">
        <f t="shared" si="66"/>
        <v>52025546.239999995</v>
      </c>
      <c r="H150" s="56">
        <f t="shared" si="66"/>
        <v>52025546.239999995</v>
      </c>
      <c r="I150" s="56">
        <f t="shared" si="66"/>
        <v>52025534.969999999</v>
      </c>
      <c r="J150" s="56">
        <f t="shared" si="66"/>
        <v>52025534.969999999</v>
      </c>
      <c r="K150" s="34">
        <f t="shared" si="58"/>
        <v>381149991.92000008</v>
      </c>
    </row>
    <row r="151" spans="1:11" ht="56.25" customHeight="1" thickBot="1" x14ac:dyDescent="0.3">
      <c r="A151" s="1073"/>
      <c r="B151" s="530" t="s">
        <v>159</v>
      </c>
      <c r="C151" s="75" t="s">
        <v>24</v>
      </c>
      <c r="D151" s="106">
        <v>1492600</v>
      </c>
      <c r="E151" s="114">
        <v>139200.01</v>
      </c>
      <c r="F151" s="691">
        <f>142700+196602.5</f>
        <v>339302.5</v>
      </c>
      <c r="G151" s="692">
        <v>339302.5</v>
      </c>
      <c r="H151" s="692">
        <v>339302.5</v>
      </c>
      <c r="I151" s="692">
        <v>339302.5</v>
      </c>
      <c r="J151" s="692">
        <v>339302.5</v>
      </c>
      <c r="K151" s="184">
        <f t="shared" si="58"/>
        <v>3328312.51</v>
      </c>
    </row>
    <row r="152" spans="1:11" ht="51" x14ac:dyDescent="0.25">
      <c r="A152" s="1074"/>
      <c r="B152" s="530" t="s">
        <v>479</v>
      </c>
      <c r="C152" s="49" t="s">
        <v>146</v>
      </c>
      <c r="D152" s="531">
        <v>50256200</v>
      </c>
      <c r="E152" s="115">
        <v>51702353.490000002</v>
      </c>
      <c r="F152" s="693">
        <f>43182281.96-1756626+1241846.54</f>
        <v>42667502.5</v>
      </c>
      <c r="G152" s="693">
        <v>40235155.979999997</v>
      </c>
      <c r="H152" s="693">
        <v>40235155.979999997</v>
      </c>
      <c r="I152" s="693">
        <v>40235144.469999999</v>
      </c>
      <c r="J152" s="693">
        <v>40235144.469999999</v>
      </c>
      <c r="K152" s="532">
        <f t="shared" si="58"/>
        <v>305566656.88999999</v>
      </c>
    </row>
    <row r="153" spans="1:11" ht="34.5" customHeight="1" x14ac:dyDescent="0.25">
      <c r="A153" s="1074"/>
      <c r="B153" s="525" t="s">
        <v>158</v>
      </c>
      <c r="C153" s="57" t="s">
        <v>25</v>
      </c>
      <c r="D153" s="107">
        <v>7172800</v>
      </c>
      <c r="E153" s="116">
        <v>7172796</v>
      </c>
      <c r="F153" s="694">
        <v>7172796</v>
      </c>
      <c r="G153" s="695">
        <v>8050644</v>
      </c>
      <c r="H153" s="695">
        <v>8050644</v>
      </c>
      <c r="I153" s="695">
        <v>8050644</v>
      </c>
      <c r="J153" s="695">
        <v>8050644</v>
      </c>
      <c r="K153" s="532">
        <f t="shared" si="58"/>
        <v>53720968</v>
      </c>
    </row>
    <row r="154" spans="1:11" ht="34.5" customHeight="1" thickBot="1" x14ac:dyDescent="0.3">
      <c r="A154" s="1074"/>
      <c r="B154" s="525" t="s">
        <v>167</v>
      </c>
      <c r="C154" s="57" t="s">
        <v>165</v>
      </c>
      <c r="D154" s="107">
        <v>0</v>
      </c>
      <c r="E154" s="116">
        <v>0</v>
      </c>
      <c r="F154" s="694">
        <v>4932279</v>
      </c>
      <c r="G154" s="694">
        <v>3400443.76</v>
      </c>
      <c r="H154" s="694">
        <v>3400443.76</v>
      </c>
      <c r="I154" s="694">
        <v>3400444</v>
      </c>
      <c r="J154" s="694">
        <v>3400444</v>
      </c>
      <c r="K154" s="186">
        <f t="shared" si="58"/>
        <v>18534054.52</v>
      </c>
    </row>
    <row r="155" spans="1:11" ht="16.5" customHeight="1" thickBot="1" x14ac:dyDescent="0.3">
      <c r="A155" s="38" t="s">
        <v>66</v>
      </c>
      <c r="B155" s="520"/>
      <c r="C155" s="60" t="s">
        <v>407</v>
      </c>
      <c r="D155" s="354">
        <f>D156</f>
        <v>0</v>
      </c>
      <c r="E155" s="355">
        <f t="shared" ref="E155:J155" si="67">E156</f>
        <v>16000</v>
      </c>
      <c r="F155" s="355">
        <f t="shared" si="67"/>
        <v>80000</v>
      </c>
      <c r="G155" s="355">
        <f t="shared" si="67"/>
        <v>0</v>
      </c>
      <c r="H155" s="355">
        <f t="shared" si="67"/>
        <v>0</v>
      </c>
      <c r="I155" s="356">
        <f t="shared" si="67"/>
        <v>0</v>
      </c>
      <c r="J155" s="354">
        <f t="shared" si="67"/>
        <v>0</v>
      </c>
      <c r="K155" s="186">
        <f t="shared" si="58"/>
        <v>96000</v>
      </c>
    </row>
    <row r="156" spans="1:11" ht="75" customHeight="1" thickBot="1" x14ac:dyDescent="0.3">
      <c r="A156" s="527"/>
      <c r="B156" s="528" t="s">
        <v>219</v>
      </c>
      <c r="C156" s="141" t="s">
        <v>220</v>
      </c>
      <c r="D156" s="144">
        <v>0</v>
      </c>
      <c r="E156" s="144">
        <v>16000</v>
      </c>
      <c r="F156" s="529">
        <f>32000+48000</f>
        <v>80000</v>
      </c>
      <c r="G156" s="529">
        <v>0</v>
      </c>
      <c r="H156" s="529">
        <v>0</v>
      </c>
      <c r="I156" s="529">
        <v>0</v>
      </c>
      <c r="J156" s="529">
        <v>0</v>
      </c>
      <c r="K156" s="186">
        <f t="shared" si="58"/>
        <v>96000</v>
      </c>
    </row>
    <row r="157" spans="1:11" ht="28.5" customHeight="1" thickBot="1" x14ac:dyDescent="0.3">
      <c r="A157" s="37" t="s">
        <v>4</v>
      </c>
      <c r="B157" s="518"/>
      <c r="C157" s="37" t="s">
        <v>414</v>
      </c>
      <c r="D157" s="111">
        <f t="shared" ref="D157:F158" si="68">D158</f>
        <v>9263400</v>
      </c>
      <c r="E157" s="111">
        <f t="shared" si="68"/>
        <v>9263401.1799999997</v>
      </c>
      <c r="F157" s="111">
        <f t="shared" si="68"/>
        <v>8390920.6099999994</v>
      </c>
      <c r="G157" s="45">
        <f t="shared" ref="G157:J158" si="69">G158</f>
        <v>6722720.1200000001</v>
      </c>
      <c r="H157" s="45">
        <f t="shared" si="69"/>
        <v>6722720.1200000001</v>
      </c>
      <c r="I157" s="45">
        <f t="shared" si="69"/>
        <v>6723229.7999999998</v>
      </c>
      <c r="J157" s="45">
        <f t="shared" si="69"/>
        <v>6723229.7999999998</v>
      </c>
      <c r="K157" s="519">
        <f t="shared" si="58"/>
        <v>53809621.629999988</v>
      </c>
    </row>
    <row r="158" spans="1:11" ht="15.75" thickBot="1" x14ac:dyDescent="0.3">
      <c r="A158" s="59" t="s">
        <v>66</v>
      </c>
      <c r="B158" s="520"/>
      <c r="C158" s="59" t="s">
        <v>148</v>
      </c>
      <c r="D158" s="214">
        <f t="shared" si="68"/>
        <v>9263400</v>
      </c>
      <c r="E158" s="214">
        <f t="shared" si="68"/>
        <v>9263401.1799999997</v>
      </c>
      <c r="F158" s="214">
        <f t="shared" si="68"/>
        <v>8390920.6099999994</v>
      </c>
      <c r="G158" s="202">
        <f t="shared" si="69"/>
        <v>6722720.1200000001</v>
      </c>
      <c r="H158" s="202">
        <f t="shared" si="69"/>
        <v>6722720.1200000001</v>
      </c>
      <c r="I158" s="202">
        <f t="shared" si="69"/>
        <v>6723229.7999999998</v>
      </c>
      <c r="J158" s="202">
        <f t="shared" si="69"/>
        <v>6723229.7999999998</v>
      </c>
      <c r="K158" s="186">
        <f t="shared" si="58"/>
        <v>53809621.629999988</v>
      </c>
    </row>
    <row r="159" spans="1:11" ht="64.5" thickBot="1" x14ac:dyDescent="0.3">
      <c r="A159" s="58"/>
      <c r="B159" s="183" t="s">
        <v>157</v>
      </c>
      <c r="C159" s="58" t="s">
        <v>147</v>
      </c>
      <c r="D159" s="526">
        <v>9263400</v>
      </c>
      <c r="E159" s="117">
        <v>9263401.1799999997</v>
      </c>
      <c r="F159" s="696">
        <v>8390920.6099999994</v>
      </c>
      <c r="G159" s="697">
        <v>6722720.1200000001</v>
      </c>
      <c r="H159" s="697">
        <v>6722720.1200000001</v>
      </c>
      <c r="I159" s="697">
        <v>6723229.7999999998</v>
      </c>
      <c r="J159" s="697">
        <v>6723229.7999999998</v>
      </c>
      <c r="K159" s="186">
        <f t="shared" si="58"/>
        <v>53809621.629999988</v>
      </c>
    </row>
    <row r="160" spans="1:11" ht="15.75" thickBot="1" x14ac:dyDescent="0.3">
      <c r="A160" s="37" t="s">
        <v>4</v>
      </c>
      <c r="B160" s="518"/>
      <c r="C160" s="37" t="s">
        <v>415</v>
      </c>
      <c r="D160" s="111">
        <f t="shared" ref="D160:J160" si="70">D161</f>
        <v>457100</v>
      </c>
      <c r="E160" s="111">
        <f t="shared" si="70"/>
        <v>654090</v>
      </c>
      <c r="F160" s="111">
        <f t="shared" si="70"/>
        <v>3743921</v>
      </c>
      <c r="G160" s="45">
        <f t="shared" si="70"/>
        <v>4049163</v>
      </c>
      <c r="H160" s="45">
        <f t="shared" si="70"/>
        <v>3787527</v>
      </c>
      <c r="I160" s="45">
        <f t="shared" si="70"/>
        <v>4354405</v>
      </c>
      <c r="J160" s="45">
        <f t="shared" si="70"/>
        <v>4354405</v>
      </c>
      <c r="K160" s="519">
        <f t="shared" si="58"/>
        <v>21400611</v>
      </c>
    </row>
    <row r="161" spans="1:11" ht="26.25" thickBot="1" x14ac:dyDescent="0.3">
      <c r="A161" s="60" t="s">
        <v>66</v>
      </c>
      <c r="B161" s="520"/>
      <c r="C161" s="60" t="s">
        <v>149</v>
      </c>
      <c r="D161" s="215">
        <f t="shared" ref="D161:J161" si="71">D162+D163+D164</f>
        <v>457100</v>
      </c>
      <c r="E161" s="215">
        <f t="shared" si="71"/>
        <v>654090</v>
      </c>
      <c r="F161" s="215">
        <f t="shared" si="71"/>
        <v>3743921</v>
      </c>
      <c r="G161" s="523">
        <f t="shared" si="71"/>
        <v>4049163</v>
      </c>
      <c r="H161" s="523">
        <f t="shared" si="71"/>
        <v>3787527</v>
      </c>
      <c r="I161" s="523">
        <f t="shared" si="71"/>
        <v>4354405</v>
      </c>
      <c r="J161" s="523">
        <f t="shared" si="71"/>
        <v>4354405</v>
      </c>
      <c r="K161" s="186">
        <f t="shared" si="58"/>
        <v>21400611</v>
      </c>
    </row>
    <row r="162" spans="1:11" ht="77.25" thickBot="1" x14ac:dyDescent="0.3">
      <c r="A162" s="1051"/>
      <c r="B162" s="524" t="s">
        <v>156</v>
      </c>
      <c r="C162" s="456" t="s">
        <v>29</v>
      </c>
      <c r="D162" s="106">
        <v>5500</v>
      </c>
      <c r="E162" s="114">
        <v>7500</v>
      </c>
      <c r="F162" s="691">
        <f>7500-3500</f>
        <v>4000</v>
      </c>
      <c r="G162" s="692">
        <v>7500</v>
      </c>
      <c r="H162" s="692">
        <v>4500</v>
      </c>
      <c r="I162" s="692">
        <v>11000</v>
      </c>
      <c r="J162" s="692">
        <v>11000</v>
      </c>
      <c r="K162" s="186">
        <f t="shared" si="58"/>
        <v>51000</v>
      </c>
    </row>
    <row r="163" spans="1:11" ht="90" thickBot="1" x14ac:dyDescent="0.3">
      <c r="A163" s="1052"/>
      <c r="B163" s="525" t="s">
        <v>155</v>
      </c>
      <c r="C163" s="57" t="s">
        <v>30</v>
      </c>
      <c r="D163" s="107">
        <v>451600</v>
      </c>
      <c r="E163" s="116">
        <v>646590</v>
      </c>
      <c r="F163" s="694">
        <f>646590-301742</f>
        <v>344848</v>
      </c>
      <c r="G163" s="695">
        <v>646590</v>
      </c>
      <c r="H163" s="695">
        <v>387954</v>
      </c>
      <c r="I163" s="695">
        <v>948332</v>
      </c>
      <c r="J163" s="695">
        <v>948332</v>
      </c>
      <c r="K163" s="186">
        <f t="shared" si="58"/>
        <v>4374246</v>
      </c>
    </row>
    <row r="164" spans="1:11" ht="102.75" thickBot="1" x14ac:dyDescent="0.3">
      <c r="A164" s="1053"/>
      <c r="B164" s="525" t="s">
        <v>168</v>
      </c>
      <c r="C164" s="57" t="s">
        <v>166</v>
      </c>
      <c r="D164" s="107">
        <v>0</v>
      </c>
      <c r="E164" s="116">
        <v>0</v>
      </c>
      <c r="F164" s="694">
        <v>3395073</v>
      </c>
      <c r="G164" s="694">
        <v>3395073</v>
      </c>
      <c r="H164" s="694">
        <v>3395073</v>
      </c>
      <c r="I164" s="694">
        <v>3395073</v>
      </c>
      <c r="J164" s="694">
        <v>3395073</v>
      </c>
      <c r="K164" s="186">
        <f t="shared" si="58"/>
        <v>16975365</v>
      </c>
    </row>
    <row r="165" spans="1:11" ht="39" thickBot="1" x14ac:dyDescent="0.3">
      <c r="A165" s="53" t="s">
        <v>65</v>
      </c>
      <c r="B165" s="516"/>
      <c r="C165" s="53" t="s">
        <v>2</v>
      </c>
      <c r="D165" s="110">
        <f t="shared" ref="D165:J165" si="72">D166+D169</f>
        <v>32892200</v>
      </c>
      <c r="E165" s="110">
        <f t="shared" si="72"/>
        <v>32245329.760000002</v>
      </c>
      <c r="F165" s="110">
        <f t="shared" si="72"/>
        <v>30100000</v>
      </c>
      <c r="G165" s="54">
        <f t="shared" si="72"/>
        <v>28600000</v>
      </c>
      <c r="H165" s="54">
        <f t="shared" si="72"/>
        <v>28600000</v>
      </c>
      <c r="I165" s="54">
        <f t="shared" si="72"/>
        <v>28600000</v>
      </c>
      <c r="J165" s="54">
        <f t="shared" si="72"/>
        <v>28600000</v>
      </c>
      <c r="K165" s="517">
        <f t="shared" si="58"/>
        <v>209637529.75999999</v>
      </c>
    </row>
    <row r="166" spans="1:11" ht="26.25" thickBot="1" x14ac:dyDescent="0.3">
      <c r="A166" s="37" t="s">
        <v>4</v>
      </c>
      <c r="B166" s="518"/>
      <c r="C166" s="37" t="s">
        <v>397</v>
      </c>
      <c r="D166" s="111">
        <f t="shared" ref="D166:F167" si="73">D167</f>
        <v>31742200</v>
      </c>
      <c r="E166" s="111">
        <f t="shared" si="73"/>
        <v>32245329.760000002</v>
      </c>
      <c r="F166" s="111">
        <f t="shared" si="73"/>
        <v>28600000</v>
      </c>
      <c r="G166" s="45">
        <f t="shared" ref="G166:J167" si="74">G167</f>
        <v>28600000</v>
      </c>
      <c r="H166" s="45">
        <f t="shared" si="74"/>
        <v>28600000</v>
      </c>
      <c r="I166" s="45">
        <f t="shared" si="74"/>
        <v>28600000</v>
      </c>
      <c r="J166" s="45">
        <f t="shared" si="74"/>
        <v>28600000</v>
      </c>
      <c r="K166" s="519">
        <f t="shared" si="58"/>
        <v>206987529.75999999</v>
      </c>
    </row>
    <row r="167" spans="1:11" ht="31.5" customHeight="1" thickBot="1" x14ac:dyDescent="0.3">
      <c r="A167" s="38" t="s">
        <v>66</v>
      </c>
      <c r="B167" s="181"/>
      <c r="C167" s="38" t="s">
        <v>416</v>
      </c>
      <c r="D167" s="112">
        <f t="shared" si="73"/>
        <v>31742200</v>
      </c>
      <c r="E167" s="112">
        <f t="shared" si="73"/>
        <v>32245329.760000002</v>
      </c>
      <c r="F167" s="112">
        <f t="shared" si="73"/>
        <v>28600000</v>
      </c>
      <c r="G167" s="56">
        <f t="shared" si="74"/>
        <v>28600000</v>
      </c>
      <c r="H167" s="56">
        <f t="shared" si="74"/>
        <v>28600000</v>
      </c>
      <c r="I167" s="56">
        <f t="shared" si="74"/>
        <v>28600000</v>
      </c>
      <c r="J167" s="56">
        <f t="shared" si="74"/>
        <v>28600000</v>
      </c>
      <c r="K167" s="186">
        <f t="shared" si="58"/>
        <v>206987529.75999999</v>
      </c>
    </row>
    <row r="168" spans="1:11" ht="26.25" thickBot="1" x14ac:dyDescent="0.3">
      <c r="A168" s="61"/>
      <c r="B168" s="183" t="s">
        <v>154</v>
      </c>
      <c r="C168" s="61" t="s">
        <v>31</v>
      </c>
      <c r="D168" s="108">
        <v>31742200</v>
      </c>
      <c r="E168" s="118">
        <v>32245329.760000002</v>
      </c>
      <c r="F168" s="698">
        <v>28600000</v>
      </c>
      <c r="G168" s="699">
        <v>28600000</v>
      </c>
      <c r="H168" s="699">
        <v>28600000</v>
      </c>
      <c r="I168" s="699">
        <v>28600000</v>
      </c>
      <c r="J168" s="699">
        <v>28600000</v>
      </c>
      <c r="K168" s="186">
        <f t="shared" si="58"/>
        <v>206987529.75999999</v>
      </c>
    </row>
    <row r="169" spans="1:11" ht="31.5" customHeight="1" thickBot="1" x14ac:dyDescent="0.3">
      <c r="A169" s="472" t="s">
        <v>4</v>
      </c>
      <c r="B169" s="473"/>
      <c r="C169" s="472" t="s">
        <v>400</v>
      </c>
      <c r="D169" s="474">
        <f t="shared" ref="D169:J169" si="75">D170</f>
        <v>1150000</v>
      </c>
      <c r="E169" s="474">
        <f t="shared" si="75"/>
        <v>0</v>
      </c>
      <c r="F169" s="111">
        <f t="shared" si="75"/>
        <v>1500000</v>
      </c>
      <c r="G169" s="45">
        <f t="shared" si="75"/>
        <v>0</v>
      </c>
      <c r="H169" s="45">
        <f t="shared" si="75"/>
        <v>0</v>
      </c>
      <c r="I169" s="45">
        <f t="shared" si="75"/>
        <v>0</v>
      </c>
      <c r="J169" s="45">
        <f t="shared" si="75"/>
        <v>0</v>
      </c>
      <c r="K169" s="475">
        <f t="shared" si="58"/>
        <v>2650000</v>
      </c>
    </row>
    <row r="170" spans="1:11" ht="15.75" thickBot="1" x14ac:dyDescent="0.3">
      <c r="A170" s="476" t="s">
        <v>66</v>
      </c>
      <c r="B170" s="477"/>
      <c r="C170" s="476" t="s">
        <v>417</v>
      </c>
      <c r="D170" s="478">
        <f t="shared" ref="D170:J170" si="76">D171+D172</f>
        <v>1150000</v>
      </c>
      <c r="E170" s="478">
        <f t="shared" si="76"/>
        <v>0</v>
      </c>
      <c r="F170" s="112">
        <f t="shared" si="76"/>
        <v>1500000</v>
      </c>
      <c r="G170" s="56">
        <f t="shared" si="76"/>
        <v>0</v>
      </c>
      <c r="H170" s="56">
        <f t="shared" si="76"/>
        <v>0</v>
      </c>
      <c r="I170" s="56">
        <f t="shared" si="76"/>
        <v>0</v>
      </c>
      <c r="J170" s="56">
        <f t="shared" si="76"/>
        <v>0</v>
      </c>
      <c r="K170" s="479">
        <f t="shared" si="58"/>
        <v>2650000</v>
      </c>
    </row>
    <row r="171" spans="1:11" ht="51" x14ac:dyDescent="0.25">
      <c r="A171" s="1068"/>
      <c r="B171" s="512" t="s">
        <v>152</v>
      </c>
      <c r="C171" s="513" t="s">
        <v>26</v>
      </c>
      <c r="D171" s="514">
        <v>1150000</v>
      </c>
      <c r="E171" s="515">
        <v>0</v>
      </c>
      <c r="F171" s="700">
        <v>0</v>
      </c>
      <c r="G171" s="701">
        <v>0</v>
      </c>
      <c r="H171" s="701">
        <v>0</v>
      </c>
      <c r="I171" s="701">
        <v>0</v>
      </c>
      <c r="J171" s="465">
        <v>0</v>
      </c>
      <c r="K171" s="481">
        <f t="shared" si="58"/>
        <v>1150000</v>
      </c>
    </row>
    <row r="172" spans="1:11" ht="51.75" thickBot="1" x14ac:dyDescent="0.3">
      <c r="A172" s="1069"/>
      <c r="B172" s="482" t="s">
        <v>153</v>
      </c>
      <c r="C172" s="496" t="s">
        <v>32</v>
      </c>
      <c r="D172" s="497">
        <v>0</v>
      </c>
      <c r="E172" s="498">
        <v>0</v>
      </c>
      <c r="F172" s="702">
        <v>1500000</v>
      </c>
      <c r="G172" s="703">
        <v>0</v>
      </c>
      <c r="H172" s="703">
        <v>0</v>
      </c>
      <c r="I172" s="703">
        <v>0</v>
      </c>
      <c r="J172" s="704">
        <v>0</v>
      </c>
      <c r="K172" s="479">
        <f t="shared" si="58"/>
        <v>1500000</v>
      </c>
    </row>
    <row r="173" spans="1:11" ht="39" thickBot="1" x14ac:dyDescent="0.3">
      <c r="A173" s="53" t="s">
        <v>65</v>
      </c>
      <c r="B173" s="516"/>
      <c r="C173" s="53" t="s">
        <v>8</v>
      </c>
      <c r="D173" s="110">
        <f t="shared" ref="D173:E175" si="77">D174</f>
        <v>564700</v>
      </c>
      <c r="E173" s="110">
        <f t="shared" si="77"/>
        <v>503965</v>
      </c>
      <c r="F173" s="110">
        <f>F174</f>
        <v>503965</v>
      </c>
      <c r="G173" s="54">
        <f t="shared" ref="G173:J175" si="78">G174</f>
        <v>503965</v>
      </c>
      <c r="H173" s="54">
        <f t="shared" si="78"/>
        <v>503965</v>
      </c>
      <c r="I173" s="54">
        <f t="shared" si="78"/>
        <v>503965</v>
      </c>
      <c r="J173" s="54">
        <f t="shared" si="78"/>
        <v>503965</v>
      </c>
      <c r="K173" s="517">
        <f t="shared" si="58"/>
        <v>3588490</v>
      </c>
    </row>
    <row r="174" spans="1:11" ht="15.75" thickBot="1" x14ac:dyDescent="0.3">
      <c r="A174" s="37" t="s">
        <v>4</v>
      </c>
      <c r="B174" s="518"/>
      <c r="C174" s="37" t="s">
        <v>418</v>
      </c>
      <c r="D174" s="111">
        <f t="shared" si="77"/>
        <v>564700</v>
      </c>
      <c r="E174" s="111">
        <f t="shared" si="77"/>
        <v>503965</v>
      </c>
      <c r="F174" s="111">
        <f>F175</f>
        <v>503965</v>
      </c>
      <c r="G174" s="45">
        <f t="shared" si="78"/>
        <v>503965</v>
      </c>
      <c r="H174" s="45">
        <f t="shared" si="78"/>
        <v>503965</v>
      </c>
      <c r="I174" s="45">
        <f t="shared" si="78"/>
        <v>503965</v>
      </c>
      <c r="J174" s="45">
        <f t="shared" si="78"/>
        <v>503965</v>
      </c>
      <c r="K174" s="519">
        <f t="shared" si="58"/>
        <v>3588490</v>
      </c>
    </row>
    <row r="175" spans="1:11" ht="39" thickBot="1" x14ac:dyDescent="0.3">
      <c r="A175" s="38" t="s">
        <v>66</v>
      </c>
      <c r="B175" s="520"/>
      <c r="C175" s="38" t="s">
        <v>419</v>
      </c>
      <c r="D175" s="112">
        <f t="shared" si="77"/>
        <v>564700</v>
      </c>
      <c r="E175" s="112">
        <f t="shared" si="77"/>
        <v>503965</v>
      </c>
      <c r="F175" s="112">
        <f>F176</f>
        <v>503965</v>
      </c>
      <c r="G175" s="56">
        <f t="shared" si="78"/>
        <v>503965</v>
      </c>
      <c r="H175" s="56">
        <f t="shared" si="78"/>
        <v>503965</v>
      </c>
      <c r="I175" s="56">
        <f t="shared" si="78"/>
        <v>503965</v>
      </c>
      <c r="J175" s="56">
        <f t="shared" si="78"/>
        <v>503965</v>
      </c>
      <c r="K175" s="186">
        <f t="shared" si="58"/>
        <v>3588490</v>
      </c>
    </row>
    <row r="176" spans="1:11" ht="39" thickBot="1" x14ac:dyDescent="0.3">
      <c r="A176" s="50"/>
      <c r="B176" s="520" t="s">
        <v>150</v>
      </c>
      <c r="C176" s="50" t="s">
        <v>23</v>
      </c>
      <c r="D176" s="109">
        <v>564700</v>
      </c>
      <c r="E176" s="119">
        <v>503965</v>
      </c>
      <c r="F176" s="113">
        <v>503965</v>
      </c>
      <c r="G176" s="705">
        <v>503965</v>
      </c>
      <c r="H176" s="705">
        <v>503965</v>
      </c>
      <c r="I176" s="705">
        <v>503965</v>
      </c>
      <c r="J176" s="706">
        <v>503965</v>
      </c>
      <c r="K176" s="186">
        <f t="shared" si="58"/>
        <v>3588490</v>
      </c>
    </row>
    <row r="177" spans="1:11" ht="39" thickBot="1" x14ac:dyDescent="0.3">
      <c r="A177" s="53" t="s">
        <v>65</v>
      </c>
      <c r="B177" s="516"/>
      <c r="C177" s="53" t="s">
        <v>3</v>
      </c>
      <c r="D177" s="110">
        <f t="shared" ref="D177:F178" si="79">D178</f>
        <v>45356400</v>
      </c>
      <c r="E177" s="110">
        <f t="shared" si="79"/>
        <v>38825812.460000001</v>
      </c>
      <c r="F177" s="110">
        <f t="shared" si="79"/>
        <v>37377585.719999999</v>
      </c>
      <c r="G177" s="54">
        <f t="shared" ref="G177:J178" si="80">G178</f>
        <v>34939085.729999997</v>
      </c>
      <c r="H177" s="54">
        <f t="shared" si="80"/>
        <v>34939085.729999997</v>
      </c>
      <c r="I177" s="54">
        <f t="shared" si="80"/>
        <v>34939085.729999997</v>
      </c>
      <c r="J177" s="54">
        <f t="shared" si="80"/>
        <v>34939085.729999997</v>
      </c>
      <c r="K177" s="517">
        <f t="shared" si="58"/>
        <v>261316141.09999996</v>
      </c>
    </row>
    <row r="178" spans="1:11" ht="31.5" customHeight="1" thickBot="1" x14ac:dyDescent="0.3">
      <c r="A178" s="37" t="s">
        <v>4</v>
      </c>
      <c r="B178" s="518"/>
      <c r="C178" s="37" t="s">
        <v>420</v>
      </c>
      <c r="D178" s="111">
        <f t="shared" si="79"/>
        <v>45356400</v>
      </c>
      <c r="E178" s="111">
        <f t="shared" si="79"/>
        <v>38825812.460000001</v>
      </c>
      <c r="F178" s="111">
        <f t="shared" si="79"/>
        <v>37377585.719999999</v>
      </c>
      <c r="G178" s="45">
        <f t="shared" si="80"/>
        <v>34939085.729999997</v>
      </c>
      <c r="H178" s="45">
        <f t="shared" si="80"/>
        <v>34939085.729999997</v>
      </c>
      <c r="I178" s="45">
        <f t="shared" si="80"/>
        <v>34939085.729999997</v>
      </c>
      <c r="J178" s="45">
        <f t="shared" si="80"/>
        <v>34939085.729999997</v>
      </c>
      <c r="K178" s="519">
        <f t="shared" si="58"/>
        <v>261316141.09999996</v>
      </c>
    </row>
    <row r="179" spans="1:11" ht="34.5" customHeight="1" thickBot="1" x14ac:dyDescent="0.3">
      <c r="A179" s="38" t="s">
        <v>66</v>
      </c>
      <c r="B179" s="181"/>
      <c r="C179" s="38" t="s">
        <v>405</v>
      </c>
      <c r="D179" s="112">
        <f t="shared" ref="D179:J179" si="81">D180+D181</f>
        <v>45356400</v>
      </c>
      <c r="E179" s="112">
        <f t="shared" si="81"/>
        <v>38825812.460000001</v>
      </c>
      <c r="F179" s="112">
        <f t="shared" si="81"/>
        <v>37377585.719999999</v>
      </c>
      <c r="G179" s="112">
        <f t="shared" si="81"/>
        <v>34939085.729999997</v>
      </c>
      <c r="H179" s="112">
        <f t="shared" si="81"/>
        <v>34939085.729999997</v>
      </c>
      <c r="I179" s="112">
        <f t="shared" si="81"/>
        <v>34939085.729999997</v>
      </c>
      <c r="J179" s="112">
        <f t="shared" si="81"/>
        <v>34939085.729999997</v>
      </c>
      <c r="K179" s="186">
        <f t="shared" si="58"/>
        <v>261316141.09999996</v>
      </c>
    </row>
    <row r="180" spans="1:11" ht="38.25" x14ac:dyDescent="0.25">
      <c r="A180" s="1041"/>
      <c r="B180" s="521" t="s">
        <v>151</v>
      </c>
      <c r="C180" s="150" t="s">
        <v>28</v>
      </c>
      <c r="D180" s="148">
        <v>45327400</v>
      </c>
      <c r="E180" s="149">
        <v>38825812.460000001</v>
      </c>
      <c r="F180" s="707">
        <f>40038293.78-2660708.06</f>
        <v>37377585.719999999</v>
      </c>
      <c r="G180" s="708">
        <f>23459957.97+233400+7084907.31+776000.04+884439.98+272800.02+1422846.07+52700+323234.46+388999.88+34800+5000</f>
        <v>34939085.729999997</v>
      </c>
      <c r="H180" s="708">
        <f>23459957.97+233400+7084907.31+776000.04+884439.98+272800.02+1422846.07+52700+323234.46+388999.88+34800+5000</f>
        <v>34939085.729999997</v>
      </c>
      <c r="I180" s="708">
        <f>23459957.97+233400+7084907.31+776000.04+884439.98+272800.02+1422846.07+52700+323234.46+388999.88+34800+5000</f>
        <v>34939085.729999997</v>
      </c>
      <c r="J180" s="708">
        <f>23459957.97+233400+7084907.31+776000.04+884439.98+272800.02+1422846.07+52700+323234.46+388999.88+34800+5000</f>
        <v>34939085.729999997</v>
      </c>
      <c r="K180" s="184">
        <f t="shared" si="58"/>
        <v>261287141.09999996</v>
      </c>
    </row>
    <row r="181" spans="1:11" ht="77.25" thickBot="1" x14ac:dyDescent="0.3">
      <c r="A181" s="1042"/>
      <c r="B181" s="185"/>
      <c r="C181" s="151" t="s">
        <v>215</v>
      </c>
      <c r="D181" s="152">
        <v>29000</v>
      </c>
      <c r="E181" s="153">
        <v>0</v>
      </c>
      <c r="F181" s="154">
        <v>0</v>
      </c>
      <c r="G181" s="154">
        <v>0</v>
      </c>
      <c r="H181" s="154">
        <v>0</v>
      </c>
      <c r="I181" s="154">
        <v>0</v>
      </c>
      <c r="J181" s="522">
        <v>0</v>
      </c>
      <c r="K181" s="186">
        <f t="shared" si="58"/>
        <v>29000</v>
      </c>
    </row>
    <row r="182" spans="1:11" ht="39" thickBot="1" x14ac:dyDescent="0.3">
      <c r="A182" s="51" t="s">
        <v>65</v>
      </c>
      <c r="B182" s="52"/>
      <c r="C182" s="53" t="s">
        <v>216</v>
      </c>
      <c r="D182" s="110">
        <f t="shared" ref="D182:F184" si="82">D183</f>
        <v>350000</v>
      </c>
      <c r="E182" s="110">
        <f t="shared" si="82"/>
        <v>0</v>
      </c>
      <c r="F182" s="110">
        <f t="shared" si="82"/>
        <v>0</v>
      </c>
      <c r="G182" s="54">
        <f t="shared" ref="G182:J184" si="83">G183</f>
        <v>0</v>
      </c>
      <c r="H182" s="54">
        <f t="shared" si="83"/>
        <v>0</v>
      </c>
      <c r="I182" s="54">
        <f t="shared" si="83"/>
        <v>0</v>
      </c>
      <c r="J182" s="54">
        <f t="shared" si="83"/>
        <v>0</v>
      </c>
      <c r="K182" s="187">
        <f t="shared" si="58"/>
        <v>350000</v>
      </c>
    </row>
    <row r="183" spans="1:11" ht="15.75" thickBot="1" x14ac:dyDescent="0.3">
      <c r="A183" s="46" t="s">
        <v>4</v>
      </c>
      <c r="B183" s="41"/>
      <c r="C183" s="37"/>
      <c r="D183" s="111">
        <f t="shared" si="82"/>
        <v>350000</v>
      </c>
      <c r="E183" s="111">
        <f t="shared" si="82"/>
        <v>0</v>
      </c>
      <c r="F183" s="111">
        <f t="shared" si="82"/>
        <v>0</v>
      </c>
      <c r="G183" s="45">
        <f t="shared" si="83"/>
        <v>0</v>
      </c>
      <c r="H183" s="45">
        <f t="shared" si="83"/>
        <v>0</v>
      </c>
      <c r="I183" s="45">
        <f t="shared" si="83"/>
        <v>0</v>
      </c>
      <c r="J183" s="45">
        <f t="shared" si="83"/>
        <v>0</v>
      </c>
      <c r="K183" s="188">
        <f t="shared" si="58"/>
        <v>350000</v>
      </c>
    </row>
    <row r="184" spans="1:11" ht="15.75" thickBot="1" x14ac:dyDescent="0.3">
      <c r="A184" s="55" t="s">
        <v>66</v>
      </c>
      <c r="B184" s="48"/>
      <c r="C184" s="38"/>
      <c r="D184" s="112">
        <f t="shared" si="82"/>
        <v>350000</v>
      </c>
      <c r="E184" s="112">
        <f t="shared" si="82"/>
        <v>0</v>
      </c>
      <c r="F184" s="112">
        <f t="shared" si="82"/>
        <v>0</v>
      </c>
      <c r="G184" s="56">
        <f t="shared" si="83"/>
        <v>0</v>
      </c>
      <c r="H184" s="56">
        <f t="shared" si="83"/>
        <v>0</v>
      </c>
      <c r="I184" s="56">
        <f t="shared" si="83"/>
        <v>0</v>
      </c>
      <c r="J184" s="56">
        <f t="shared" si="83"/>
        <v>0</v>
      </c>
      <c r="K184" s="34">
        <f t="shared" si="58"/>
        <v>350000</v>
      </c>
    </row>
    <row r="185" spans="1:11" ht="26.25" thickBot="1" x14ac:dyDescent="0.3">
      <c r="A185" s="47"/>
      <c r="B185" s="48" t="s">
        <v>150</v>
      </c>
      <c r="C185" s="50" t="s">
        <v>217</v>
      </c>
      <c r="D185" s="109">
        <v>350000</v>
      </c>
      <c r="E185" s="119">
        <v>0</v>
      </c>
      <c r="F185" s="113">
        <v>0</v>
      </c>
      <c r="G185" s="705">
        <v>0</v>
      </c>
      <c r="H185" s="705">
        <v>0</v>
      </c>
      <c r="I185" s="705">
        <v>0</v>
      </c>
      <c r="J185" s="706">
        <v>0</v>
      </c>
      <c r="K185" s="34">
        <f t="shared" si="58"/>
        <v>350000</v>
      </c>
    </row>
    <row r="187" spans="1:11" s="1" customFormat="1" x14ac:dyDescent="0.25">
      <c r="A187" s="62"/>
      <c r="B187" s="63"/>
      <c r="C187" s="63" t="s">
        <v>22</v>
      </c>
      <c r="D187" s="6">
        <f>D188+D192+D193+D194</f>
        <v>20047400</v>
      </c>
      <c r="E187" s="6">
        <f t="shared" ref="E187:J187" si="84">E188+E192+E193+E194</f>
        <v>17120699.300000001</v>
      </c>
      <c r="F187" s="216">
        <f>F188+F192+F193+F194+F195+F196</f>
        <v>40258907.829999998</v>
      </c>
      <c r="G187" s="216">
        <f t="shared" si="84"/>
        <v>0</v>
      </c>
      <c r="H187" s="216">
        <f t="shared" si="84"/>
        <v>0</v>
      </c>
      <c r="I187" s="216">
        <f t="shared" si="84"/>
        <v>0</v>
      </c>
      <c r="J187" s="216">
        <f t="shared" si="84"/>
        <v>0</v>
      </c>
      <c r="K187" s="6"/>
    </row>
    <row r="188" spans="1:11" s="1" customFormat="1" x14ac:dyDescent="0.25">
      <c r="A188" s="62"/>
      <c r="B188" s="63"/>
      <c r="C188" s="63" t="s">
        <v>9</v>
      </c>
      <c r="D188" s="6">
        <f t="shared" ref="D188:J188" si="85">D189+D190+D191</f>
        <v>12650000</v>
      </c>
      <c r="E188" s="6">
        <f t="shared" si="85"/>
        <v>8901000</v>
      </c>
      <c r="F188" s="216">
        <f t="shared" si="85"/>
        <v>16300000</v>
      </c>
      <c r="G188" s="216">
        <f t="shared" si="85"/>
        <v>0</v>
      </c>
      <c r="H188" s="216">
        <f t="shared" si="85"/>
        <v>0</v>
      </c>
      <c r="I188" s="216">
        <f t="shared" si="85"/>
        <v>0</v>
      </c>
      <c r="J188" s="216">
        <f t="shared" si="85"/>
        <v>0</v>
      </c>
      <c r="K188" s="6"/>
    </row>
    <row r="189" spans="1:11" x14ac:dyDescent="0.25">
      <c r="A189" s="64"/>
      <c r="B189" s="65"/>
      <c r="C189" s="457" t="s">
        <v>16</v>
      </c>
      <c r="D189" s="124">
        <v>3000000</v>
      </c>
      <c r="E189" s="80">
        <f>2900000+1200000-370000</f>
        <v>3730000</v>
      </c>
      <c r="F189" s="217">
        <f>1000000+400000+1000000+400000</f>
        <v>2800000</v>
      </c>
      <c r="G189" s="217">
        <v>0</v>
      </c>
    </row>
    <row r="190" spans="1:11" x14ac:dyDescent="0.25">
      <c r="A190" s="64"/>
      <c r="B190" s="65"/>
      <c r="C190" s="457" t="s">
        <v>17</v>
      </c>
      <c r="D190" s="124">
        <v>7900000</v>
      </c>
      <c r="E190" s="80">
        <f>7125000-1200000-754000</f>
        <v>5171000</v>
      </c>
      <c r="F190" s="217">
        <f>480000+1400000+2900000+900000+800000+800000+510000+1600000+200000+190000</f>
        <v>9780000</v>
      </c>
      <c r="G190" s="217">
        <v>0</v>
      </c>
    </row>
    <row r="191" spans="1:11" x14ac:dyDescent="0.25">
      <c r="A191" s="64"/>
      <c r="B191" s="65"/>
      <c r="C191" s="457" t="s">
        <v>18</v>
      </c>
      <c r="D191" s="124">
        <v>1750000</v>
      </c>
      <c r="E191" s="125">
        <v>0</v>
      </c>
      <c r="F191" s="217">
        <f>1500000+1020000+1000000+200000</f>
        <v>3720000</v>
      </c>
      <c r="G191" s="217">
        <v>0</v>
      </c>
    </row>
    <row r="192" spans="1:11" s="1" customFormat="1" x14ac:dyDescent="0.25">
      <c r="A192" s="66"/>
      <c r="B192" s="63"/>
      <c r="C192" s="458" t="s">
        <v>21</v>
      </c>
      <c r="D192" s="126">
        <f>13200+1374000+7800+18600+924800</f>
        <v>2338400</v>
      </c>
      <c r="E192" s="126">
        <v>34362.300000000003</v>
      </c>
      <c r="F192" s="216"/>
      <c r="G192" s="216"/>
      <c r="H192" s="216"/>
      <c r="I192" s="216"/>
      <c r="J192" s="216"/>
      <c r="K192" s="6"/>
    </row>
    <row r="193" spans="1:11" s="1" customFormat="1" x14ac:dyDescent="0.25">
      <c r="A193" s="66"/>
      <c r="B193" s="63"/>
      <c r="C193" s="459" t="s">
        <v>331</v>
      </c>
      <c r="D193" s="126">
        <v>5059000</v>
      </c>
      <c r="E193" s="126">
        <f>5585100+2165300</f>
        <v>7750400</v>
      </c>
      <c r="F193" s="216">
        <f>206563.9+526427.1+106609</f>
        <v>839600</v>
      </c>
      <c r="G193" s="216"/>
      <c r="H193" s="216"/>
      <c r="I193" s="216"/>
      <c r="J193" s="216"/>
      <c r="K193" s="6"/>
    </row>
    <row r="194" spans="1:11" x14ac:dyDescent="0.25">
      <c r="A194" s="67"/>
      <c r="B194" s="65"/>
      <c r="C194" s="460" t="s">
        <v>318</v>
      </c>
      <c r="D194" s="5">
        <v>0</v>
      </c>
      <c r="E194" s="6">
        <v>434937</v>
      </c>
    </row>
    <row r="195" spans="1:11" ht="29.25" customHeight="1" x14ac:dyDescent="0.25">
      <c r="A195" s="67"/>
      <c r="B195" s="65"/>
      <c r="C195" s="461" t="s">
        <v>429</v>
      </c>
      <c r="D195" s="5"/>
      <c r="E195" s="6"/>
      <c r="F195" s="216">
        <v>500000</v>
      </c>
    </row>
    <row r="196" spans="1:11" ht="29.25" customHeight="1" x14ac:dyDescent="0.25">
      <c r="A196" s="67"/>
      <c r="B196" s="65"/>
      <c r="C196" s="461" t="s">
        <v>477</v>
      </c>
      <c r="D196" s="5"/>
      <c r="E196" s="6"/>
      <c r="F196" s="216">
        <v>22619307.829999998</v>
      </c>
    </row>
    <row r="197" spans="1:11" x14ac:dyDescent="0.25">
      <c r="A197" s="67"/>
      <c r="B197" s="65"/>
      <c r="C197" s="65"/>
      <c r="D197" s="5"/>
      <c r="E197" s="5"/>
    </row>
    <row r="198" spans="1:11" x14ac:dyDescent="0.25">
      <c r="A198" s="68"/>
      <c r="B198" s="69"/>
      <c r="C198" s="69" t="s">
        <v>33</v>
      </c>
      <c r="D198" s="6">
        <v>5921517433.7600002</v>
      </c>
      <c r="E198" s="6">
        <v>5976657477.8599997</v>
      </c>
      <c r="F198" s="216">
        <v>5674339021.2399998</v>
      </c>
      <c r="G198" s="216">
        <v>5209905934.79</v>
      </c>
      <c r="H198" s="216">
        <v>5205101134.79</v>
      </c>
      <c r="I198" s="216">
        <v>5203268534.79</v>
      </c>
      <c r="J198" s="216">
        <v>5118825834.79</v>
      </c>
    </row>
    <row r="199" spans="1:11" x14ac:dyDescent="0.25">
      <c r="A199" s="68"/>
      <c r="B199" s="69"/>
      <c r="C199" s="69" t="s">
        <v>34</v>
      </c>
      <c r="D199" s="5">
        <f t="shared" ref="D199:J199" si="86">D200-D198</f>
        <v>0</v>
      </c>
      <c r="E199" s="5">
        <f t="shared" si="86"/>
        <v>0</v>
      </c>
      <c r="F199" s="217">
        <f t="shared" si="86"/>
        <v>50738920.570000648</v>
      </c>
      <c r="G199" s="217">
        <f t="shared" si="86"/>
        <v>0</v>
      </c>
      <c r="H199" s="217">
        <f t="shared" si="86"/>
        <v>0</v>
      </c>
      <c r="I199" s="217">
        <f t="shared" si="86"/>
        <v>0</v>
      </c>
      <c r="J199" s="217">
        <f t="shared" si="86"/>
        <v>0</v>
      </c>
    </row>
    <row r="200" spans="1:11" s="1" customFormat="1" ht="14.25" customHeight="1" x14ac:dyDescent="0.25">
      <c r="A200" s="72"/>
      <c r="B200" s="72"/>
      <c r="C200" s="462" t="s">
        <v>19</v>
      </c>
      <c r="D200" s="6">
        <f t="shared" ref="D200:J200" si="87">D203+D187</f>
        <v>5921517433.7600002</v>
      </c>
      <c r="E200" s="6">
        <f t="shared" si="87"/>
        <v>5976657477.8600006</v>
      </c>
      <c r="F200" s="216">
        <f t="shared" si="87"/>
        <v>5725077941.8100004</v>
      </c>
      <c r="G200" s="216">
        <f t="shared" si="87"/>
        <v>5209905934.789999</v>
      </c>
      <c r="H200" s="216">
        <f t="shared" si="87"/>
        <v>5205101134.789999</v>
      </c>
      <c r="I200" s="216">
        <f t="shared" si="87"/>
        <v>5203268534.79</v>
      </c>
      <c r="J200" s="216">
        <f t="shared" si="87"/>
        <v>5118825834.79</v>
      </c>
      <c r="K200" s="6"/>
    </row>
    <row r="201" spans="1:11" s="1" customFormat="1" ht="14.25" customHeight="1" x14ac:dyDescent="0.25">
      <c r="A201" s="72"/>
      <c r="B201" s="72"/>
      <c r="C201" s="462" t="s">
        <v>161</v>
      </c>
      <c r="D201" s="5">
        <f t="shared" ref="D201:J201" si="88">D5+D8+D156+D193</f>
        <v>867206889.75999999</v>
      </c>
      <c r="E201" s="5">
        <f t="shared" si="88"/>
        <v>645132620.17000008</v>
      </c>
      <c r="F201" s="217">
        <f t="shared" si="88"/>
        <v>468352000</v>
      </c>
      <c r="G201" s="217">
        <f t="shared" si="88"/>
        <v>91080100</v>
      </c>
      <c r="H201" s="217">
        <f t="shared" si="88"/>
        <v>86275300</v>
      </c>
      <c r="I201" s="217">
        <f t="shared" si="88"/>
        <v>84442700</v>
      </c>
      <c r="J201" s="217">
        <f t="shared" si="88"/>
        <v>0</v>
      </c>
      <c r="K201" s="6"/>
    </row>
    <row r="202" spans="1:11" s="1" customFormat="1" ht="14.25" customHeight="1" x14ac:dyDescent="0.25">
      <c r="A202" s="72"/>
      <c r="B202" s="72"/>
      <c r="C202" s="462" t="s">
        <v>162</v>
      </c>
      <c r="D202" s="5">
        <f>D200-D201</f>
        <v>5054310544</v>
      </c>
      <c r="E202" s="5">
        <f t="shared" ref="E202:J202" si="89">E200-E201</f>
        <v>5331524857.6900005</v>
      </c>
      <c r="F202" s="217">
        <f t="shared" si="89"/>
        <v>5256725941.8100004</v>
      </c>
      <c r="G202" s="217">
        <f t="shared" si="89"/>
        <v>5118825834.789999</v>
      </c>
      <c r="H202" s="217">
        <f t="shared" si="89"/>
        <v>5118825834.789999</v>
      </c>
      <c r="I202" s="217">
        <f t="shared" si="89"/>
        <v>5118825834.79</v>
      </c>
      <c r="J202" s="217">
        <f t="shared" si="89"/>
        <v>5118825834.79</v>
      </c>
      <c r="K202" s="6"/>
    </row>
    <row r="203" spans="1:11" ht="13.5" customHeight="1" x14ac:dyDescent="0.25">
      <c r="A203" s="73"/>
      <c r="B203" s="73"/>
      <c r="C203" s="462" t="s">
        <v>20</v>
      </c>
      <c r="D203" s="6">
        <f t="shared" ref="D203:J203" si="90">D4+D148+D165+D173+D177+D182</f>
        <v>5901470033.7600002</v>
      </c>
      <c r="E203" s="6">
        <f t="shared" si="90"/>
        <v>5959536778.5600004</v>
      </c>
      <c r="F203" s="216">
        <f t="shared" si="90"/>
        <v>5684819033.9800005</v>
      </c>
      <c r="G203" s="216">
        <f t="shared" si="90"/>
        <v>5209905934.789999</v>
      </c>
      <c r="H203" s="216">
        <f t="shared" si="90"/>
        <v>5205101134.789999</v>
      </c>
      <c r="I203" s="216">
        <f t="shared" si="90"/>
        <v>5203268534.79</v>
      </c>
      <c r="J203" s="216">
        <f t="shared" si="90"/>
        <v>5118825834.79</v>
      </c>
    </row>
    <row r="204" spans="1:11" ht="13.5" customHeight="1" x14ac:dyDescent="0.25">
      <c r="A204" s="73"/>
      <c r="B204" s="73"/>
      <c r="C204" s="462"/>
      <c r="D204" s="6"/>
      <c r="E204" s="6"/>
      <c r="F204" s="216"/>
      <c r="G204" s="216"/>
      <c r="H204" s="216"/>
      <c r="I204" s="216"/>
      <c r="J204" s="216"/>
    </row>
    <row r="205" spans="1:11" s="1" customFormat="1" ht="15" customHeight="1" x14ac:dyDescent="0.25">
      <c r="A205" s="72"/>
      <c r="B205" s="72"/>
      <c r="C205" s="462" t="s">
        <v>15</v>
      </c>
      <c r="D205" s="6">
        <f t="shared" ref="D205:J205" si="91">D206+D207+D208</f>
        <v>86838800</v>
      </c>
      <c r="E205" s="6">
        <f t="shared" si="91"/>
        <v>40828500.139999993</v>
      </c>
      <c r="F205" s="216">
        <f t="shared" si="91"/>
        <v>96943570.129999995</v>
      </c>
      <c r="G205" s="216">
        <f t="shared" si="91"/>
        <v>96943570.129999995</v>
      </c>
      <c r="H205" s="216">
        <f t="shared" si="91"/>
        <v>96943570.129999995</v>
      </c>
      <c r="I205" s="216">
        <f t="shared" si="91"/>
        <v>96943570.129999995</v>
      </c>
      <c r="J205" s="216">
        <f t="shared" si="91"/>
        <v>96943570.129999995</v>
      </c>
      <c r="K205" s="6"/>
    </row>
    <row r="206" spans="1:11" x14ac:dyDescent="0.25">
      <c r="B206" s="4"/>
      <c r="C206" s="4" t="s">
        <v>12</v>
      </c>
      <c r="D206" s="5">
        <f t="shared" ref="D206:J206" si="92">D29+D48+D61+D78+D88+D97</f>
        <v>84602600</v>
      </c>
      <c r="E206" s="5">
        <f t="shared" si="92"/>
        <v>38356200.129999995</v>
      </c>
      <c r="F206" s="217">
        <f t="shared" si="92"/>
        <v>93322971.420000002</v>
      </c>
      <c r="G206" s="217">
        <f t="shared" si="92"/>
        <v>93322971.420000002</v>
      </c>
      <c r="H206" s="217">
        <f t="shared" si="92"/>
        <v>93322971.420000002</v>
      </c>
      <c r="I206" s="217">
        <f t="shared" si="92"/>
        <v>93322971.420000002</v>
      </c>
      <c r="J206" s="217">
        <f t="shared" si="92"/>
        <v>93322971.420000002</v>
      </c>
    </row>
    <row r="207" spans="1:11" x14ac:dyDescent="0.25">
      <c r="B207" s="4"/>
      <c r="C207" s="4" t="s">
        <v>13</v>
      </c>
      <c r="D207" s="5">
        <f t="shared" ref="D207:J207" si="93">D85</f>
        <v>743600</v>
      </c>
      <c r="E207" s="5">
        <f t="shared" si="93"/>
        <v>2333100</v>
      </c>
      <c r="F207" s="217">
        <f t="shared" si="93"/>
        <v>3281296.21</v>
      </c>
      <c r="G207" s="217">
        <f t="shared" si="93"/>
        <v>3281296.21</v>
      </c>
      <c r="H207" s="217">
        <f t="shared" si="93"/>
        <v>3281296.21</v>
      </c>
      <c r="I207" s="217">
        <f t="shared" si="93"/>
        <v>3281296.21</v>
      </c>
      <c r="J207" s="217">
        <f t="shared" si="93"/>
        <v>3281296.21</v>
      </c>
    </row>
    <row r="208" spans="1:11" x14ac:dyDescent="0.25">
      <c r="B208" s="4"/>
      <c r="C208" s="4" t="s">
        <v>14</v>
      </c>
      <c r="D208" s="5">
        <f t="shared" ref="D208:J208" si="94">D151</f>
        <v>1492600</v>
      </c>
      <c r="E208" s="5">
        <f t="shared" si="94"/>
        <v>139200.01</v>
      </c>
      <c r="F208" s="217">
        <f t="shared" si="94"/>
        <v>339302.5</v>
      </c>
      <c r="G208" s="217">
        <f t="shared" si="94"/>
        <v>339302.5</v>
      </c>
      <c r="H208" s="217">
        <f t="shared" si="94"/>
        <v>339302.5</v>
      </c>
      <c r="I208" s="217">
        <f t="shared" si="94"/>
        <v>339302.5</v>
      </c>
      <c r="J208" s="217">
        <f t="shared" si="94"/>
        <v>339302.5</v>
      </c>
    </row>
    <row r="209" spans="4:10" x14ac:dyDescent="0.25">
      <c r="D209" s="5"/>
      <c r="E209" s="5"/>
    </row>
    <row r="210" spans="4:10" x14ac:dyDescent="0.25">
      <c r="F210" s="217">
        <f>5724477941.81-F200</f>
        <v>-600000</v>
      </c>
    </row>
    <row r="211" spans="4:10" x14ac:dyDescent="0.25">
      <c r="J211" s="217" t="s">
        <v>164</v>
      </c>
    </row>
  </sheetData>
  <mergeCells count="43">
    <mergeCell ref="A3:A9"/>
    <mergeCell ref="B3:B9"/>
    <mergeCell ref="A171:A172"/>
    <mergeCell ref="A78:A80"/>
    <mergeCell ref="A85:A86"/>
    <mergeCell ref="A103:A108"/>
    <mergeCell ref="A110:A113"/>
    <mergeCell ref="A151:A154"/>
    <mergeCell ref="A14:A24"/>
    <mergeCell ref="A10:A12"/>
    <mergeCell ref="B10:B12"/>
    <mergeCell ref="A25:A27"/>
    <mergeCell ref="A40:A41"/>
    <mergeCell ref="B25:B27"/>
    <mergeCell ref="B137:B139"/>
    <mergeCell ref="A61:A64"/>
    <mergeCell ref="A180:A181"/>
    <mergeCell ref="A88:A89"/>
    <mergeCell ref="A48:A56"/>
    <mergeCell ref="A35:A38"/>
    <mergeCell ref="A141:A143"/>
    <mergeCell ref="A131:A136"/>
    <mergeCell ref="A162:A164"/>
    <mergeCell ref="A74:A76"/>
    <mergeCell ref="A116:A118"/>
    <mergeCell ref="A137:A139"/>
    <mergeCell ref="A44:A46"/>
    <mergeCell ref="A99:A101"/>
    <mergeCell ref="A146:A147"/>
    <mergeCell ref="B116:B118"/>
    <mergeCell ref="A122:A124"/>
    <mergeCell ref="B122:B124"/>
    <mergeCell ref="A127:A129"/>
    <mergeCell ref="B127:B129"/>
    <mergeCell ref="A120:A121"/>
    <mergeCell ref="A29:A31"/>
    <mergeCell ref="B74:B76"/>
    <mergeCell ref="A81:A83"/>
    <mergeCell ref="B81:B83"/>
    <mergeCell ref="B99:B101"/>
    <mergeCell ref="B44:B46"/>
    <mergeCell ref="A68:A70"/>
    <mergeCell ref="B68:B7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2"/>
  <sheetViews>
    <sheetView tabSelected="1" zoomScale="85" zoomScaleNormal="85" workbookViewId="0">
      <pane ySplit="7" topLeftCell="A8" activePane="bottomLeft" state="frozen"/>
      <selection pane="bottomLeft" activeCell="E25" sqref="E25:F25"/>
    </sheetView>
  </sheetViews>
  <sheetFormatPr defaultRowHeight="15" x14ac:dyDescent="0.25"/>
  <cols>
    <col min="1" max="1" width="4.7109375" style="4" customWidth="1"/>
    <col min="2" max="2" width="46.5703125" style="747" customWidth="1"/>
    <col min="3" max="3" width="19.85546875" style="467" customWidth="1"/>
    <col min="4" max="4" width="29.7109375" style="467" customWidth="1"/>
    <col min="5" max="5" width="18.28515625" style="318" customWidth="1"/>
    <col min="6" max="6" width="18.42578125" style="318" customWidth="1"/>
    <col min="7" max="7" width="35.85546875" style="718" customWidth="1"/>
    <col min="8" max="8" width="23.5703125" style="755" customWidth="1"/>
    <col min="9" max="9" width="14.28515625" style="718" customWidth="1"/>
    <col min="10" max="10" width="13.85546875" style="712" customWidth="1"/>
    <col min="11" max="11" width="13.85546875" style="467" customWidth="1"/>
    <col min="12" max="12" width="22.42578125" style="765" customWidth="1"/>
    <col min="13" max="13" width="22.5703125" customWidth="1"/>
    <col min="15" max="15" width="13.85546875" bestFit="1" customWidth="1"/>
  </cols>
  <sheetData>
    <row r="1" spans="1:12" x14ac:dyDescent="0.25">
      <c r="A1" s="786"/>
      <c r="B1" s="469"/>
      <c r="C1" s="765"/>
      <c r="D1" s="765"/>
      <c r="E1" s="787"/>
      <c r="F1" s="787"/>
      <c r="G1" s="788"/>
      <c r="H1" s="765"/>
      <c r="I1" s="788"/>
      <c r="J1" s="789"/>
      <c r="K1" s="765"/>
      <c r="L1" s="973" t="s">
        <v>333</v>
      </c>
    </row>
    <row r="2" spans="1:12" ht="30" customHeight="1" x14ac:dyDescent="0.25">
      <c r="A2" s="1157" t="s">
        <v>836</v>
      </c>
      <c r="B2" s="1157"/>
      <c r="C2" s="1157"/>
      <c r="D2" s="1157"/>
      <c r="E2" s="1157"/>
      <c r="F2" s="1157"/>
      <c r="G2" s="1157"/>
      <c r="H2" s="1157"/>
      <c r="I2" s="1157"/>
      <c r="J2" s="1157"/>
      <c r="K2" s="1157"/>
      <c r="L2" s="1157"/>
    </row>
    <row r="3" spans="1:12" x14ac:dyDescent="0.25">
      <c r="A3" s="751"/>
      <c r="B3" s="751" t="s">
        <v>334</v>
      </c>
      <c r="C3" s="1374" t="s">
        <v>346</v>
      </c>
      <c r="D3" s="1374"/>
      <c r="E3" s="1374"/>
      <c r="F3" s="939"/>
      <c r="G3" s="944"/>
      <c r="H3" s="765"/>
      <c r="I3" s="788"/>
      <c r="J3" s="789"/>
      <c r="K3" s="765"/>
    </row>
    <row r="4" spans="1:12" x14ac:dyDescent="0.25">
      <c r="A4" s="751"/>
      <c r="B4" s="751" t="s">
        <v>335</v>
      </c>
      <c r="C4" s="1375" t="s">
        <v>180</v>
      </c>
      <c r="D4" s="1375"/>
      <c r="E4" s="1375"/>
      <c r="F4" s="939"/>
      <c r="G4" s="944"/>
      <c r="H4" s="765"/>
      <c r="I4" s="788"/>
      <c r="J4" s="789"/>
      <c r="K4" s="765"/>
    </row>
    <row r="5" spans="1:12" ht="15.75" thickBot="1" x14ac:dyDescent="0.3">
      <c r="A5" s="751"/>
      <c r="B5" s="944"/>
      <c r="C5" s="944"/>
      <c r="D5" s="944"/>
      <c r="E5" s="939"/>
      <c r="F5" s="939"/>
      <c r="G5" s="944"/>
      <c r="H5" s="765"/>
      <c r="I5" s="788"/>
      <c r="J5" s="789"/>
      <c r="K5" s="765"/>
    </row>
    <row r="6" spans="1:12" ht="92.25" customHeight="1" thickBot="1" x14ac:dyDescent="0.3">
      <c r="A6" s="790" t="s">
        <v>245</v>
      </c>
      <c r="B6" s="721" t="s">
        <v>336</v>
      </c>
      <c r="C6" s="721" t="s">
        <v>175</v>
      </c>
      <c r="D6" s="721" t="s">
        <v>337</v>
      </c>
      <c r="E6" s="791" t="s">
        <v>338</v>
      </c>
      <c r="F6" s="792" t="s">
        <v>339</v>
      </c>
      <c r="G6" s="181" t="s">
        <v>340</v>
      </c>
      <c r="H6" s="181" t="s">
        <v>341</v>
      </c>
      <c r="I6" s="181" t="s">
        <v>342</v>
      </c>
      <c r="J6" s="872" t="s">
        <v>343</v>
      </c>
      <c r="K6" s="181" t="s">
        <v>344</v>
      </c>
      <c r="L6" s="974" t="s">
        <v>410</v>
      </c>
    </row>
    <row r="7" spans="1:12" ht="15.75" thickBot="1" x14ac:dyDescent="0.3">
      <c r="A7" s="793">
        <v>1</v>
      </c>
      <c r="B7" s="721">
        <v>2</v>
      </c>
      <c r="C7" s="794">
        <v>3</v>
      </c>
      <c r="D7" s="721">
        <v>4</v>
      </c>
      <c r="E7" s="795">
        <v>5</v>
      </c>
      <c r="F7" s="796">
        <v>6</v>
      </c>
      <c r="G7" s="181">
        <v>7</v>
      </c>
      <c r="H7" s="181">
        <v>8</v>
      </c>
      <c r="I7" s="181">
        <v>9</v>
      </c>
      <c r="J7" s="873">
        <v>10</v>
      </c>
      <c r="K7" s="181">
        <v>11</v>
      </c>
      <c r="L7" s="974">
        <v>12</v>
      </c>
    </row>
    <row r="8" spans="1:12" ht="36.75" customHeight="1" x14ac:dyDescent="0.25">
      <c r="A8" s="1202"/>
      <c r="B8" s="1181" t="s">
        <v>346</v>
      </c>
      <c r="C8" s="1045" t="s">
        <v>180</v>
      </c>
      <c r="D8" s="734" t="s">
        <v>347</v>
      </c>
      <c r="E8" s="797">
        <f>E9+E16</f>
        <v>18419484294.580002</v>
      </c>
      <c r="F8" s="798">
        <f>F9+F16</f>
        <v>11822577102.969999</v>
      </c>
      <c r="G8" s="1201"/>
      <c r="H8" s="866" t="s">
        <v>792</v>
      </c>
      <c r="I8" s="943" t="s">
        <v>793</v>
      </c>
      <c r="J8" s="943">
        <v>15.3</v>
      </c>
      <c r="K8" s="919">
        <v>16.600000000000001</v>
      </c>
      <c r="L8" s="975">
        <f>L9+L16</f>
        <v>6524014209.3299999</v>
      </c>
    </row>
    <row r="9" spans="1:12" ht="38.25" x14ac:dyDescent="0.25">
      <c r="A9" s="1202"/>
      <c r="B9" s="1182"/>
      <c r="C9" s="1046"/>
      <c r="D9" s="1376" t="s">
        <v>225</v>
      </c>
      <c r="E9" s="1378">
        <f>E12+E14+E15</f>
        <v>6544448263.3299999</v>
      </c>
      <c r="F9" s="1378">
        <f>F12+F14+F15</f>
        <v>4347183388.5599995</v>
      </c>
      <c r="G9" s="1202"/>
      <c r="H9" s="863" t="s">
        <v>794</v>
      </c>
      <c r="I9" s="864" t="s">
        <v>795</v>
      </c>
      <c r="J9" s="864">
        <v>4</v>
      </c>
      <c r="K9" s="910" t="s">
        <v>833</v>
      </c>
      <c r="L9" s="1378">
        <f>L12+L14+L15</f>
        <v>6524014209.3299999</v>
      </c>
    </row>
    <row r="10" spans="1:12" ht="38.25" x14ac:dyDescent="0.25">
      <c r="A10" s="1202"/>
      <c r="B10" s="1182"/>
      <c r="C10" s="1046"/>
      <c r="D10" s="1133"/>
      <c r="E10" s="1208"/>
      <c r="F10" s="1208"/>
      <c r="G10" s="1202"/>
      <c r="H10" s="863" t="s">
        <v>802</v>
      </c>
      <c r="I10" s="864" t="s">
        <v>803</v>
      </c>
      <c r="J10" s="870">
        <v>38.700000000000003</v>
      </c>
      <c r="K10" s="927">
        <v>38</v>
      </c>
      <c r="L10" s="1208"/>
    </row>
    <row r="11" spans="1:12" ht="51" x14ac:dyDescent="0.25">
      <c r="A11" s="1202"/>
      <c r="B11" s="1182"/>
      <c r="C11" s="1046"/>
      <c r="D11" s="1377"/>
      <c r="E11" s="1209"/>
      <c r="F11" s="1209"/>
      <c r="G11" s="1202"/>
      <c r="H11" s="863" t="s">
        <v>804</v>
      </c>
      <c r="I11" s="864" t="s">
        <v>357</v>
      </c>
      <c r="J11" s="870">
        <v>2.2999999999999998</v>
      </c>
      <c r="K11" s="927">
        <v>2.2000000000000002</v>
      </c>
      <c r="L11" s="1209"/>
    </row>
    <row r="12" spans="1:12" ht="63" x14ac:dyDescent="0.25">
      <c r="A12" s="1202"/>
      <c r="B12" s="1182"/>
      <c r="C12" s="1046"/>
      <c r="D12" s="1112" t="s">
        <v>283</v>
      </c>
      <c r="E12" s="1138">
        <f>E21+E157+E256+E391+E412+E499+E529+E562+E550</f>
        <v>5641229763.3299999</v>
      </c>
      <c r="F12" s="1138">
        <f>F21+F157+F256+F391+F412+F499+F529+F562+F550</f>
        <v>4031096458.25</v>
      </c>
      <c r="G12" s="1202"/>
      <c r="H12" s="812" t="s">
        <v>805</v>
      </c>
      <c r="I12" s="935" t="s">
        <v>796</v>
      </c>
      <c r="J12" s="943">
        <v>72.81</v>
      </c>
      <c r="K12" s="874" t="s">
        <v>810</v>
      </c>
      <c r="L12" s="1379">
        <f>L21+L157+L256+L391+L412+L499+L529+L562+L550</f>
        <v>5750841309.3299999</v>
      </c>
    </row>
    <row r="13" spans="1:12" ht="63" x14ac:dyDescent="0.25">
      <c r="A13" s="1202"/>
      <c r="B13" s="1182"/>
      <c r="C13" s="1046"/>
      <c r="D13" s="1141"/>
      <c r="E13" s="1150"/>
      <c r="F13" s="1150"/>
      <c r="G13" s="1202"/>
      <c r="H13" s="841" t="s">
        <v>806</v>
      </c>
      <c r="I13" s="920" t="s">
        <v>357</v>
      </c>
      <c r="J13" s="914">
        <v>-7516</v>
      </c>
      <c r="K13" s="874" t="s">
        <v>810</v>
      </c>
      <c r="L13" s="1380"/>
    </row>
    <row r="14" spans="1:12" ht="63" x14ac:dyDescent="0.25">
      <c r="A14" s="1202"/>
      <c r="B14" s="1182"/>
      <c r="C14" s="1046"/>
      <c r="D14" s="934" t="s">
        <v>282</v>
      </c>
      <c r="E14" s="799">
        <f>E22+E158+E257+E392+E413+E500+E530+E563+E551</f>
        <v>903218500</v>
      </c>
      <c r="F14" s="799">
        <f>F22+F158+F257+F392+F413+F500+F530+F563+F551</f>
        <v>316086930.30999994</v>
      </c>
      <c r="G14" s="1202"/>
      <c r="H14" s="867" t="s">
        <v>807</v>
      </c>
      <c r="I14" s="914" t="s">
        <v>797</v>
      </c>
      <c r="J14" s="942">
        <v>520.9</v>
      </c>
      <c r="K14" s="874" t="s">
        <v>810</v>
      </c>
      <c r="L14" s="976">
        <f>L22+L158+L257+L392+L413+L500+L530+L563+L551</f>
        <v>773172900</v>
      </c>
    </row>
    <row r="15" spans="1:12" ht="52.5" thickBot="1" x14ac:dyDescent="0.3">
      <c r="A15" s="1202"/>
      <c r="B15" s="1182"/>
      <c r="C15" s="1047"/>
      <c r="D15" s="151" t="s">
        <v>281</v>
      </c>
      <c r="E15" s="799">
        <f>E414</f>
        <v>0</v>
      </c>
      <c r="F15" s="800">
        <f>F414</f>
        <v>0</v>
      </c>
      <c r="G15" s="1203"/>
      <c r="H15" s="868" t="s">
        <v>808</v>
      </c>
      <c r="I15" s="921" t="s">
        <v>797</v>
      </c>
      <c r="J15" s="918">
        <v>580</v>
      </c>
      <c r="K15" s="921" t="s">
        <v>834</v>
      </c>
      <c r="L15" s="977">
        <f>L414</f>
        <v>0</v>
      </c>
    </row>
    <row r="16" spans="1:12" ht="66" customHeight="1" x14ac:dyDescent="0.25">
      <c r="A16" s="1202"/>
      <c r="B16" s="1182"/>
      <c r="C16" s="1045" t="s">
        <v>348</v>
      </c>
      <c r="D16" s="937" t="s">
        <v>349</v>
      </c>
      <c r="E16" s="861">
        <f>E17</f>
        <v>11875036031.25</v>
      </c>
      <c r="F16" s="862">
        <f>F17</f>
        <v>7475393714.4099998</v>
      </c>
      <c r="G16" s="1129"/>
      <c r="H16" s="869" t="s">
        <v>809</v>
      </c>
      <c r="I16" s="919" t="s">
        <v>797</v>
      </c>
      <c r="J16" s="871">
        <v>212.8</v>
      </c>
      <c r="K16" s="919" t="s">
        <v>835</v>
      </c>
      <c r="L16" s="975">
        <f>L18</f>
        <v>0</v>
      </c>
    </row>
    <row r="17" spans="1:14" ht="66.75" customHeight="1" x14ac:dyDescent="0.25">
      <c r="A17" s="1202"/>
      <c r="B17" s="1182"/>
      <c r="C17" s="1046"/>
      <c r="D17" s="1112" t="s">
        <v>350</v>
      </c>
      <c r="E17" s="1142">
        <f>E531</f>
        <v>11875036031.25</v>
      </c>
      <c r="F17" s="1145">
        <f>F531</f>
        <v>7475393714.4099998</v>
      </c>
      <c r="G17" s="1130"/>
      <c r="H17" s="812" t="s">
        <v>798</v>
      </c>
      <c r="I17" s="864" t="s">
        <v>799</v>
      </c>
      <c r="J17" s="935">
        <v>1.4750000000000001</v>
      </c>
      <c r="K17" s="874" t="s">
        <v>810</v>
      </c>
      <c r="L17" s="978"/>
    </row>
    <row r="18" spans="1:14" ht="104.25" customHeight="1" thickBot="1" x14ac:dyDescent="0.3">
      <c r="A18" s="1203"/>
      <c r="B18" s="1183"/>
      <c r="C18" s="1047"/>
      <c r="D18" s="1113"/>
      <c r="E18" s="1148"/>
      <c r="F18" s="1149"/>
      <c r="G18" s="1042"/>
      <c r="H18" s="766" t="s">
        <v>800</v>
      </c>
      <c r="I18" s="907" t="s">
        <v>801</v>
      </c>
      <c r="J18" s="918">
        <v>25392.5</v>
      </c>
      <c r="K18" s="921">
        <v>26989.599999999999</v>
      </c>
      <c r="L18" s="977"/>
    </row>
    <row r="19" spans="1:14" ht="15.75" thickBot="1" x14ac:dyDescent="0.3">
      <c r="A19" s="1371"/>
      <c r="B19" s="1372"/>
      <c r="C19" s="1372"/>
      <c r="D19" s="1372"/>
      <c r="E19" s="1372"/>
      <c r="F19" s="1372"/>
      <c r="G19" s="1372"/>
      <c r="H19" s="1372"/>
      <c r="I19" s="1372"/>
      <c r="J19" s="1372"/>
      <c r="K19" s="1372"/>
      <c r="L19" s="1373"/>
    </row>
    <row r="20" spans="1:14" x14ac:dyDescent="0.25">
      <c r="A20" s="1041"/>
      <c r="B20" s="1181" t="s">
        <v>67</v>
      </c>
      <c r="C20" s="1045" t="s">
        <v>180</v>
      </c>
      <c r="D20" s="734" t="s">
        <v>225</v>
      </c>
      <c r="E20" s="371">
        <f>E21+E22</f>
        <v>1019352289.77</v>
      </c>
      <c r="F20" s="371">
        <f>F21+F22</f>
        <v>288142568.51999998</v>
      </c>
      <c r="G20" s="1045"/>
      <c r="H20" s="1045"/>
      <c r="I20" s="1045"/>
      <c r="J20" s="1200"/>
      <c r="K20" s="1045"/>
      <c r="L20" s="979">
        <f>L21+L22</f>
        <v>1019352289.77</v>
      </c>
      <c r="M20" s="860">
        <f>M21+M22+L20</f>
        <v>1019352289.77</v>
      </c>
    </row>
    <row r="21" spans="1:14" x14ac:dyDescent="0.25">
      <c r="A21" s="1111"/>
      <c r="B21" s="1182"/>
      <c r="C21" s="1046"/>
      <c r="D21" s="727" t="s">
        <v>283</v>
      </c>
      <c r="E21" s="770">
        <f>E24+E70+E88+E105+E127+E149</f>
        <v>383358789.76999998</v>
      </c>
      <c r="F21" s="770">
        <f>F24+F70+F88+F105+F127+F149</f>
        <v>171037713.19</v>
      </c>
      <c r="G21" s="1046"/>
      <c r="H21" s="1046"/>
      <c r="I21" s="1046"/>
      <c r="J21" s="1173"/>
      <c r="K21" s="1046"/>
      <c r="L21" s="980">
        <f>L24+L70+L88+L105+L127+L149</f>
        <v>364858789.76999998</v>
      </c>
      <c r="M21" s="860"/>
      <c r="N21" s="860"/>
    </row>
    <row r="22" spans="1:14" ht="15.75" thickBot="1" x14ac:dyDescent="0.3">
      <c r="A22" s="1111"/>
      <c r="B22" s="1183"/>
      <c r="C22" s="1047"/>
      <c r="D22" s="771" t="s">
        <v>282</v>
      </c>
      <c r="E22" s="770">
        <f>E25+E71+E89+E106+E130+E150</f>
        <v>635993500</v>
      </c>
      <c r="F22" s="770">
        <f>F25+F71+F89+F106+F130+F150</f>
        <v>117104855.33</v>
      </c>
      <c r="G22" s="1047"/>
      <c r="H22" s="1047"/>
      <c r="I22" s="1047"/>
      <c r="J22" s="1174"/>
      <c r="K22" s="1047"/>
      <c r="L22" s="980">
        <f>L25+L71+L89+L106+L130+L150</f>
        <v>654493500</v>
      </c>
      <c r="M22" s="860"/>
    </row>
    <row r="23" spans="1:14" x14ac:dyDescent="0.25">
      <c r="A23" s="1111"/>
      <c r="B23" s="1181" t="s">
        <v>68</v>
      </c>
      <c r="C23" s="1045" t="s">
        <v>180</v>
      </c>
      <c r="D23" s="734" t="s">
        <v>225</v>
      </c>
      <c r="E23" s="371">
        <f>E24+E25</f>
        <v>160914766.28999999</v>
      </c>
      <c r="F23" s="371">
        <f>F24+F25</f>
        <v>126373116.59</v>
      </c>
      <c r="G23" s="1041"/>
      <c r="H23" s="1041"/>
      <c r="I23" s="1041"/>
      <c r="J23" s="1119"/>
      <c r="K23" s="1041"/>
      <c r="L23" s="981">
        <f>L24+L25</f>
        <v>160914766.28999999</v>
      </c>
      <c r="M23" s="772"/>
    </row>
    <row r="24" spans="1:14" x14ac:dyDescent="0.25">
      <c r="A24" s="1111"/>
      <c r="B24" s="1182"/>
      <c r="C24" s="1046"/>
      <c r="D24" s="934" t="s">
        <v>283</v>
      </c>
      <c r="E24" s="799">
        <f>E27+E30+E33+E36+E39+E42+E48+E51+E54+E57+E60+E67</f>
        <v>160914766.28999999</v>
      </c>
      <c r="F24" s="799">
        <f>F27+F30+F33+F36+F39+F42+F48+F51+F54+F57+F60+F67</f>
        <v>126373116.59</v>
      </c>
      <c r="G24" s="1111"/>
      <c r="H24" s="1111"/>
      <c r="I24" s="1111"/>
      <c r="J24" s="1120"/>
      <c r="K24" s="1111"/>
      <c r="L24" s="463">
        <f>L27+L30+L33+L36+M24+M25</f>
        <v>160914766.28999999</v>
      </c>
      <c r="M24">
        <v>7500000</v>
      </c>
    </row>
    <row r="25" spans="1:14" ht="15.75" thickBot="1" x14ac:dyDescent="0.3">
      <c r="A25" s="1111"/>
      <c r="B25" s="1183"/>
      <c r="C25" s="1047"/>
      <c r="D25" s="730" t="s">
        <v>282</v>
      </c>
      <c r="E25" s="799">
        <f>E28+E31+E34+E37+E40+E43+E49+E58+E61+E68</f>
        <v>0</v>
      </c>
      <c r="F25" s="799">
        <f>F28+F31+F34+F37+F40+F43+F49+F58+F61+F68</f>
        <v>0</v>
      </c>
      <c r="G25" s="1042"/>
      <c r="H25" s="1042"/>
      <c r="I25" s="1042"/>
      <c r="J25" s="1116"/>
      <c r="K25" s="1042"/>
      <c r="L25" s="880">
        <f>L28+L31+L34</f>
        <v>0</v>
      </c>
      <c r="M25" s="860">
        <v>16359300</v>
      </c>
    </row>
    <row r="26" spans="1:14" ht="56.25" customHeight="1" x14ac:dyDescent="0.25">
      <c r="A26" s="1111"/>
      <c r="B26" s="1124" t="s">
        <v>6</v>
      </c>
      <c r="C26" s="1041" t="s">
        <v>180</v>
      </c>
      <c r="D26" s="734" t="s">
        <v>225</v>
      </c>
      <c r="E26" s="349">
        <f>E27+E28</f>
        <v>52505211.289999999</v>
      </c>
      <c r="F26" s="1024">
        <f>F27+F28</f>
        <v>43880241.590000004</v>
      </c>
      <c r="G26" s="1041" t="s">
        <v>426</v>
      </c>
      <c r="H26" s="1041" t="s">
        <v>557</v>
      </c>
      <c r="I26" s="1041" t="s">
        <v>351</v>
      </c>
      <c r="J26" s="1119">
        <v>10.9</v>
      </c>
      <c r="K26" s="1121">
        <v>4.3600000000000003</v>
      </c>
      <c r="L26" s="979">
        <f>SUM(L27:L28)</f>
        <v>52505211.289999999</v>
      </c>
    </row>
    <row r="27" spans="1:14" ht="47.25" customHeight="1" x14ac:dyDescent="0.25">
      <c r="A27" s="1111"/>
      <c r="B27" s="1125"/>
      <c r="C27" s="1111"/>
      <c r="D27" s="934" t="s">
        <v>283</v>
      </c>
      <c r="E27" s="806">
        <v>52505211.289999999</v>
      </c>
      <c r="F27" s="807">
        <v>43880241.590000004</v>
      </c>
      <c r="G27" s="1111"/>
      <c r="H27" s="1111"/>
      <c r="I27" s="1111"/>
      <c r="J27" s="1120"/>
      <c r="K27" s="1122"/>
      <c r="L27" s="808">
        <v>52505211.289999999</v>
      </c>
      <c r="M27" s="905"/>
    </row>
    <row r="28" spans="1:14" ht="58.5" customHeight="1" thickBot="1" x14ac:dyDescent="0.3">
      <c r="A28" s="1111"/>
      <c r="B28" s="1126"/>
      <c r="C28" s="1042"/>
      <c r="D28" s="730" t="s">
        <v>282</v>
      </c>
      <c r="E28" s="809">
        <v>0</v>
      </c>
      <c r="F28" s="810">
        <v>0</v>
      </c>
      <c r="G28" s="1042"/>
      <c r="H28" s="1042"/>
      <c r="I28" s="1042"/>
      <c r="J28" s="1116"/>
      <c r="K28" s="1123"/>
      <c r="L28" s="982">
        <v>0</v>
      </c>
      <c r="M28" s="905"/>
    </row>
    <row r="29" spans="1:14" ht="40.5" customHeight="1" x14ac:dyDescent="0.25">
      <c r="A29" s="1111"/>
      <c r="B29" s="1124" t="s">
        <v>7</v>
      </c>
      <c r="C29" s="1041" t="s">
        <v>180</v>
      </c>
      <c r="D29" s="734" t="s">
        <v>225</v>
      </c>
      <c r="E29" s="349">
        <f>E30+E31</f>
        <v>81050255</v>
      </c>
      <c r="F29" s="341">
        <f>F30+F31</f>
        <v>79492875</v>
      </c>
      <c r="G29" s="1041" t="s">
        <v>426</v>
      </c>
      <c r="H29" s="1127" t="s">
        <v>558</v>
      </c>
      <c r="I29" s="1129" t="s">
        <v>351</v>
      </c>
      <c r="J29" s="1119">
        <v>4.3</v>
      </c>
      <c r="K29" s="1121">
        <v>0</v>
      </c>
      <c r="L29" s="979">
        <f>SUM(L30:L31)</f>
        <v>81050255</v>
      </c>
    </row>
    <row r="30" spans="1:14" ht="40.5" customHeight="1" x14ac:dyDescent="0.25">
      <c r="A30" s="1111"/>
      <c r="B30" s="1125"/>
      <c r="C30" s="1111"/>
      <c r="D30" s="934" t="s">
        <v>283</v>
      </c>
      <c r="E30" s="806">
        <v>81050255</v>
      </c>
      <c r="F30" s="807">
        <v>79492875</v>
      </c>
      <c r="G30" s="1111"/>
      <c r="H30" s="1128"/>
      <c r="I30" s="1130"/>
      <c r="J30" s="1120"/>
      <c r="K30" s="1122"/>
      <c r="L30" s="808">
        <v>81050255</v>
      </c>
    </row>
    <row r="31" spans="1:14" ht="40.5" customHeight="1" thickBot="1" x14ac:dyDescent="0.3">
      <c r="A31" s="1111"/>
      <c r="B31" s="1126"/>
      <c r="C31" s="1042"/>
      <c r="D31" s="730" t="s">
        <v>282</v>
      </c>
      <c r="E31" s="809">
        <v>0</v>
      </c>
      <c r="F31" s="810">
        <v>0</v>
      </c>
      <c r="G31" s="1042"/>
      <c r="H31" s="1113"/>
      <c r="I31" s="1131"/>
      <c r="J31" s="1116"/>
      <c r="K31" s="1123"/>
      <c r="L31" s="982">
        <v>0</v>
      </c>
    </row>
    <row r="32" spans="1:14" ht="31.5" customHeight="1" x14ac:dyDescent="0.25">
      <c r="A32" s="1111"/>
      <c r="B32" s="1124" t="s">
        <v>559</v>
      </c>
      <c r="C32" s="1041" t="s">
        <v>180</v>
      </c>
      <c r="D32" s="734" t="s">
        <v>225</v>
      </c>
      <c r="E32" s="349">
        <f>E33+E34</f>
        <v>3000000</v>
      </c>
      <c r="F32" s="341">
        <f>F33+F34</f>
        <v>3000000</v>
      </c>
      <c r="G32" s="1041" t="s">
        <v>426</v>
      </c>
      <c r="H32" s="1127" t="s">
        <v>560</v>
      </c>
      <c r="I32" s="1129" t="s">
        <v>351</v>
      </c>
      <c r="J32" s="1119">
        <v>100</v>
      </c>
      <c r="K32" s="1121">
        <v>0</v>
      </c>
      <c r="L32" s="981">
        <f>SUM(L33:L34)</f>
        <v>3000000</v>
      </c>
    </row>
    <row r="33" spans="1:12" ht="31.5" customHeight="1" x14ac:dyDescent="0.25">
      <c r="A33" s="1111"/>
      <c r="B33" s="1125"/>
      <c r="C33" s="1111"/>
      <c r="D33" s="934" t="s">
        <v>283</v>
      </c>
      <c r="E33" s="806">
        <v>3000000</v>
      </c>
      <c r="F33" s="807">
        <v>3000000</v>
      </c>
      <c r="G33" s="1111"/>
      <c r="H33" s="1128"/>
      <c r="I33" s="1130"/>
      <c r="J33" s="1120"/>
      <c r="K33" s="1122"/>
      <c r="L33" s="463">
        <v>3000000</v>
      </c>
    </row>
    <row r="34" spans="1:12" ht="31.5" customHeight="1" thickBot="1" x14ac:dyDescent="0.3">
      <c r="A34" s="1042"/>
      <c r="B34" s="1126"/>
      <c r="C34" s="1042"/>
      <c r="D34" s="730" t="s">
        <v>282</v>
      </c>
      <c r="E34" s="809">
        <v>0</v>
      </c>
      <c r="F34" s="810">
        <v>0</v>
      </c>
      <c r="G34" s="1042"/>
      <c r="H34" s="1113"/>
      <c r="I34" s="1131"/>
      <c r="J34" s="1116"/>
      <c r="K34" s="1123"/>
      <c r="L34" s="983">
        <v>0</v>
      </c>
    </row>
    <row r="35" spans="1:12" ht="31.5" customHeight="1" x14ac:dyDescent="0.25">
      <c r="A35" s="914"/>
      <c r="B35" s="1124" t="s">
        <v>853</v>
      </c>
      <c r="C35" s="1041" t="s">
        <v>180</v>
      </c>
      <c r="D35" s="734" t="s">
        <v>225</v>
      </c>
      <c r="E35" s="349">
        <f>E36+E37</f>
        <v>500000</v>
      </c>
      <c r="F35" s="341">
        <f>F36+F37</f>
        <v>0</v>
      </c>
      <c r="G35" s="1041" t="s">
        <v>426</v>
      </c>
      <c r="H35" s="1127" t="s">
        <v>561</v>
      </c>
      <c r="I35" s="1129" t="s">
        <v>351</v>
      </c>
      <c r="J35" s="1119">
        <v>2.2000000000000002</v>
      </c>
      <c r="K35" s="1121">
        <v>0</v>
      </c>
      <c r="L35" s="981">
        <f>SUM(L36:L37)</f>
        <v>500000</v>
      </c>
    </row>
    <row r="36" spans="1:12" ht="31.5" customHeight="1" x14ac:dyDescent="0.25">
      <c r="A36" s="914"/>
      <c r="B36" s="1125"/>
      <c r="C36" s="1111"/>
      <c r="D36" s="934" t="s">
        <v>283</v>
      </c>
      <c r="E36" s="806">
        <v>500000</v>
      </c>
      <c r="F36" s="807">
        <v>0</v>
      </c>
      <c r="G36" s="1111"/>
      <c r="H36" s="1128"/>
      <c r="I36" s="1130"/>
      <c r="J36" s="1120"/>
      <c r="K36" s="1122"/>
      <c r="L36" s="463">
        <v>500000</v>
      </c>
    </row>
    <row r="37" spans="1:12" ht="79.5" customHeight="1" thickBot="1" x14ac:dyDescent="0.3">
      <c r="A37" s="914"/>
      <c r="B37" s="1126"/>
      <c r="C37" s="1042"/>
      <c r="D37" s="730" t="s">
        <v>282</v>
      </c>
      <c r="E37" s="809">
        <v>0</v>
      </c>
      <c r="F37" s="810">
        <v>0</v>
      </c>
      <c r="G37" s="1042"/>
      <c r="H37" s="1113"/>
      <c r="I37" s="1131"/>
      <c r="J37" s="1116"/>
      <c r="K37" s="1123"/>
      <c r="L37" s="983">
        <v>0</v>
      </c>
    </row>
    <row r="38" spans="1:12" ht="31.5" hidden="1" customHeight="1" x14ac:dyDescent="0.25">
      <c r="A38" s="914"/>
      <c r="B38" s="1124" t="s">
        <v>562</v>
      </c>
      <c r="C38" s="1041" t="s">
        <v>180</v>
      </c>
      <c r="D38" s="734" t="s">
        <v>225</v>
      </c>
      <c r="E38" s="349">
        <f>E39+E40</f>
        <v>0</v>
      </c>
      <c r="F38" s="341">
        <f>F39+F40</f>
        <v>0</v>
      </c>
      <c r="G38" s="1041" t="s">
        <v>426</v>
      </c>
      <c r="H38" s="1127" t="s">
        <v>563</v>
      </c>
      <c r="I38" s="1129" t="s">
        <v>351</v>
      </c>
      <c r="J38" s="1119">
        <v>100</v>
      </c>
      <c r="K38" s="1121">
        <v>0</v>
      </c>
      <c r="L38" s="981">
        <v>0</v>
      </c>
    </row>
    <row r="39" spans="1:12" ht="31.5" hidden="1" customHeight="1" x14ac:dyDescent="0.25">
      <c r="A39" s="914"/>
      <c r="B39" s="1125"/>
      <c r="C39" s="1111"/>
      <c r="D39" s="934" t="s">
        <v>283</v>
      </c>
      <c r="E39" s="806">
        <v>0</v>
      </c>
      <c r="F39" s="807">
        <v>0</v>
      </c>
      <c r="G39" s="1111"/>
      <c r="H39" s="1128"/>
      <c r="I39" s="1130"/>
      <c r="J39" s="1120"/>
      <c r="K39" s="1122"/>
      <c r="L39" s="463">
        <v>0</v>
      </c>
    </row>
    <row r="40" spans="1:12" ht="101.25" hidden="1" customHeight="1" thickBot="1" x14ac:dyDescent="0.3">
      <c r="A40" s="914"/>
      <c r="B40" s="1126"/>
      <c r="C40" s="1042"/>
      <c r="D40" s="730" t="s">
        <v>282</v>
      </c>
      <c r="E40" s="809">
        <v>0</v>
      </c>
      <c r="F40" s="810">
        <v>0</v>
      </c>
      <c r="G40" s="1042"/>
      <c r="H40" s="1113"/>
      <c r="I40" s="1131"/>
      <c r="J40" s="1116"/>
      <c r="K40" s="1123"/>
      <c r="L40" s="983">
        <v>0</v>
      </c>
    </row>
    <row r="41" spans="1:12" ht="31.5" hidden="1" customHeight="1" x14ac:dyDescent="0.25">
      <c r="A41" s="914"/>
      <c r="B41" s="1124" t="s">
        <v>564</v>
      </c>
      <c r="C41" s="1041" t="s">
        <v>180</v>
      </c>
      <c r="D41" s="734" t="s">
        <v>225</v>
      </c>
      <c r="E41" s="349">
        <f>E42+E43</f>
        <v>0</v>
      </c>
      <c r="F41" s="341">
        <f>F42+F43</f>
        <v>0</v>
      </c>
      <c r="G41" s="1041" t="s">
        <v>426</v>
      </c>
      <c r="H41" s="654" t="s">
        <v>565</v>
      </c>
      <c r="I41" s="811" t="s">
        <v>566</v>
      </c>
      <c r="J41" s="830">
        <v>0</v>
      </c>
      <c r="K41" s="895">
        <v>0</v>
      </c>
      <c r="L41" s="981">
        <v>0</v>
      </c>
    </row>
    <row r="42" spans="1:12" ht="31.5" hidden="1" customHeight="1" x14ac:dyDescent="0.25">
      <c r="A42" s="914"/>
      <c r="B42" s="1125"/>
      <c r="C42" s="1111"/>
      <c r="D42" s="934" t="s">
        <v>283</v>
      </c>
      <c r="E42" s="806">
        <v>0</v>
      </c>
      <c r="F42" s="807">
        <v>0</v>
      </c>
      <c r="G42" s="1111"/>
      <c r="H42" s="728" t="s">
        <v>567</v>
      </c>
      <c r="I42" s="812" t="s">
        <v>566</v>
      </c>
      <c r="J42" s="806">
        <v>0</v>
      </c>
      <c r="K42" s="463">
        <v>0</v>
      </c>
      <c r="L42" s="463">
        <v>0</v>
      </c>
    </row>
    <row r="43" spans="1:12" ht="31.5" hidden="1" customHeight="1" x14ac:dyDescent="0.25">
      <c r="A43" s="914"/>
      <c r="B43" s="1125"/>
      <c r="C43" s="1111"/>
      <c r="D43" s="1112" t="s">
        <v>282</v>
      </c>
      <c r="E43" s="1142">
        <v>0</v>
      </c>
      <c r="F43" s="1145">
        <v>0</v>
      </c>
      <c r="G43" s="1111"/>
      <c r="H43" s="728" t="s">
        <v>568</v>
      </c>
      <c r="I43" s="812" t="s">
        <v>353</v>
      </c>
      <c r="J43" s="806">
        <v>0</v>
      </c>
      <c r="K43" s="463">
        <v>0</v>
      </c>
      <c r="L43" s="463">
        <v>0</v>
      </c>
    </row>
    <row r="44" spans="1:12" ht="31.5" hidden="1" customHeight="1" x14ac:dyDescent="0.25">
      <c r="A44" s="914"/>
      <c r="B44" s="1125"/>
      <c r="C44" s="1111"/>
      <c r="D44" s="1128"/>
      <c r="E44" s="1143"/>
      <c r="F44" s="1146"/>
      <c r="G44" s="1111"/>
      <c r="H44" s="934" t="s">
        <v>569</v>
      </c>
      <c r="I44" s="953" t="s">
        <v>353</v>
      </c>
      <c r="J44" s="851">
        <v>0</v>
      </c>
      <c r="K44" s="896">
        <v>0</v>
      </c>
      <c r="L44" s="984"/>
    </row>
    <row r="45" spans="1:12" ht="31.5" hidden="1" customHeight="1" x14ac:dyDescent="0.25">
      <c r="A45" s="914"/>
      <c r="B45" s="1125"/>
      <c r="C45" s="1111"/>
      <c r="D45" s="1128"/>
      <c r="E45" s="1143"/>
      <c r="F45" s="1146"/>
      <c r="G45" s="1111"/>
      <c r="H45" s="934" t="s">
        <v>570</v>
      </c>
      <c r="I45" s="953" t="s">
        <v>353</v>
      </c>
      <c r="J45" s="851">
        <v>0</v>
      </c>
      <c r="K45" s="896">
        <v>0</v>
      </c>
      <c r="L45" s="984"/>
    </row>
    <row r="46" spans="1:12" ht="31.5" hidden="1" customHeight="1" thickBot="1" x14ac:dyDescent="0.3">
      <c r="A46" s="914"/>
      <c r="B46" s="1126"/>
      <c r="C46" s="1042"/>
      <c r="D46" s="1113"/>
      <c r="E46" s="1148"/>
      <c r="F46" s="1149"/>
      <c r="G46" s="1042"/>
      <c r="H46" s="912" t="s">
        <v>571</v>
      </c>
      <c r="I46" s="953" t="s">
        <v>353</v>
      </c>
      <c r="J46" s="917">
        <v>0</v>
      </c>
      <c r="K46" s="933">
        <v>0</v>
      </c>
      <c r="L46" s="984"/>
    </row>
    <row r="47" spans="1:12" ht="31.5" customHeight="1" x14ac:dyDescent="0.25">
      <c r="A47" s="914"/>
      <c r="B47" s="1124" t="s">
        <v>572</v>
      </c>
      <c r="C47" s="1041" t="s">
        <v>180</v>
      </c>
      <c r="D47" s="734" t="s">
        <v>225</v>
      </c>
      <c r="E47" s="349">
        <f>E48+E49</f>
        <v>0</v>
      </c>
      <c r="F47" s="341">
        <f>F48+F49</f>
        <v>0</v>
      </c>
      <c r="G47" s="1041" t="s">
        <v>426</v>
      </c>
      <c r="H47" s="1127" t="s">
        <v>573</v>
      </c>
      <c r="I47" s="1129" t="s">
        <v>351</v>
      </c>
      <c r="J47" s="1119">
        <v>15</v>
      </c>
      <c r="K47" s="1121">
        <v>15</v>
      </c>
      <c r="L47" s="981">
        <v>0</v>
      </c>
    </row>
    <row r="48" spans="1:12" ht="31.5" customHeight="1" x14ac:dyDescent="0.25">
      <c r="A48" s="914"/>
      <c r="B48" s="1125"/>
      <c r="C48" s="1111"/>
      <c r="D48" s="934" t="s">
        <v>283</v>
      </c>
      <c r="E48" s="806">
        <v>0</v>
      </c>
      <c r="F48" s="807">
        <v>0</v>
      </c>
      <c r="G48" s="1111"/>
      <c r="H48" s="1128"/>
      <c r="I48" s="1130"/>
      <c r="J48" s="1120"/>
      <c r="K48" s="1122"/>
      <c r="L48" s="463">
        <v>0</v>
      </c>
    </row>
    <row r="49" spans="1:12" ht="31.5" customHeight="1" thickBot="1" x14ac:dyDescent="0.3">
      <c r="A49" s="914"/>
      <c r="B49" s="1126"/>
      <c r="C49" s="1042"/>
      <c r="D49" s="730" t="s">
        <v>282</v>
      </c>
      <c r="E49" s="809">
        <v>0</v>
      </c>
      <c r="F49" s="810">
        <v>0</v>
      </c>
      <c r="G49" s="1042"/>
      <c r="H49" s="1113"/>
      <c r="I49" s="1131"/>
      <c r="J49" s="1116"/>
      <c r="K49" s="1123"/>
      <c r="L49" s="983">
        <v>0</v>
      </c>
    </row>
    <row r="50" spans="1:12" ht="31.5" customHeight="1" x14ac:dyDescent="0.25">
      <c r="A50" s="914"/>
      <c r="B50" s="1124" t="s">
        <v>837</v>
      </c>
      <c r="C50" s="1041" t="s">
        <v>180</v>
      </c>
      <c r="D50" s="937" t="s">
        <v>225</v>
      </c>
      <c r="E50" s="963">
        <f>E51+E52</f>
        <v>7500000</v>
      </c>
      <c r="F50" s="341">
        <f>F51+F52</f>
        <v>0</v>
      </c>
      <c r="G50" s="1041" t="s">
        <v>426</v>
      </c>
      <c r="H50" s="1127" t="s">
        <v>838</v>
      </c>
      <c r="I50" s="1129" t="s">
        <v>351</v>
      </c>
      <c r="J50" s="1121">
        <v>5.3</v>
      </c>
      <c r="K50" s="1121">
        <v>0</v>
      </c>
      <c r="L50" s="984"/>
    </row>
    <row r="51" spans="1:12" ht="31.5" customHeight="1" x14ac:dyDescent="0.25">
      <c r="A51" s="914"/>
      <c r="B51" s="1125"/>
      <c r="C51" s="1111"/>
      <c r="D51" s="926" t="s">
        <v>283</v>
      </c>
      <c r="E51" s="960">
        <v>7500000</v>
      </c>
      <c r="F51" s="842">
        <v>0</v>
      </c>
      <c r="G51" s="1111"/>
      <c r="H51" s="1128"/>
      <c r="I51" s="1130"/>
      <c r="J51" s="1122"/>
      <c r="K51" s="1122"/>
      <c r="L51" s="984"/>
    </row>
    <row r="52" spans="1:12" ht="42" customHeight="1" thickBot="1" x14ac:dyDescent="0.3">
      <c r="A52" s="914"/>
      <c r="B52" s="1126"/>
      <c r="C52" s="1042"/>
      <c r="D52" s="730" t="s">
        <v>282</v>
      </c>
      <c r="E52" s="802">
        <v>0</v>
      </c>
      <c r="F52" s="810">
        <v>0</v>
      </c>
      <c r="G52" s="1042"/>
      <c r="H52" s="1113"/>
      <c r="I52" s="1131"/>
      <c r="J52" s="1123"/>
      <c r="K52" s="1123"/>
      <c r="L52" s="984"/>
    </row>
    <row r="53" spans="1:12" ht="31.5" customHeight="1" x14ac:dyDescent="0.25">
      <c r="A53" s="914"/>
      <c r="B53" s="1124" t="s">
        <v>839</v>
      </c>
      <c r="C53" s="1041" t="s">
        <v>180</v>
      </c>
      <c r="D53" s="937" t="s">
        <v>225</v>
      </c>
      <c r="E53" s="963">
        <f>E54+E55</f>
        <v>16359300</v>
      </c>
      <c r="F53" s="341">
        <f>F54+F55</f>
        <v>0</v>
      </c>
      <c r="G53" s="1041" t="s">
        <v>426</v>
      </c>
      <c r="H53" s="1127" t="s">
        <v>840</v>
      </c>
      <c r="I53" s="1129" t="s">
        <v>525</v>
      </c>
      <c r="J53" s="1121">
        <v>30</v>
      </c>
      <c r="K53" s="1121">
        <v>0</v>
      </c>
      <c r="L53" s="984"/>
    </row>
    <row r="54" spans="1:12" ht="31.5" customHeight="1" x14ac:dyDescent="0.25">
      <c r="A54" s="914"/>
      <c r="B54" s="1125"/>
      <c r="C54" s="1111"/>
      <c r="D54" s="926" t="s">
        <v>283</v>
      </c>
      <c r="E54" s="960">
        <v>16359300</v>
      </c>
      <c r="F54" s="842">
        <v>0</v>
      </c>
      <c r="G54" s="1111"/>
      <c r="H54" s="1128"/>
      <c r="I54" s="1130"/>
      <c r="J54" s="1122"/>
      <c r="K54" s="1122"/>
      <c r="L54" s="984"/>
    </row>
    <row r="55" spans="1:12" ht="42" customHeight="1" thickBot="1" x14ac:dyDescent="0.3">
      <c r="A55" s="914"/>
      <c r="B55" s="1126"/>
      <c r="C55" s="1042"/>
      <c r="D55" s="730" t="s">
        <v>282</v>
      </c>
      <c r="E55" s="802">
        <v>0</v>
      </c>
      <c r="F55" s="810">
        <v>0</v>
      </c>
      <c r="G55" s="1042"/>
      <c r="H55" s="1113"/>
      <c r="I55" s="1131"/>
      <c r="J55" s="1123"/>
      <c r="K55" s="1123"/>
      <c r="L55" s="984"/>
    </row>
    <row r="56" spans="1:12" ht="31.5" hidden="1" customHeight="1" x14ac:dyDescent="0.25">
      <c r="A56" s="914"/>
      <c r="B56" s="1124" t="s">
        <v>574</v>
      </c>
      <c r="C56" s="1041" t="s">
        <v>180</v>
      </c>
      <c r="D56" s="734" t="s">
        <v>225</v>
      </c>
      <c r="E56" s="349">
        <f>E57+E58</f>
        <v>0</v>
      </c>
      <c r="F56" s="341">
        <f>F57+F58</f>
        <v>0</v>
      </c>
      <c r="G56" s="1041" t="s">
        <v>426</v>
      </c>
      <c r="H56" s="1127" t="s">
        <v>575</v>
      </c>
      <c r="I56" s="1129" t="s">
        <v>351</v>
      </c>
      <c r="J56" s="1119">
        <v>0</v>
      </c>
      <c r="K56" s="1121">
        <v>0</v>
      </c>
      <c r="L56" s="981">
        <v>0</v>
      </c>
    </row>
    <row r="57" spans="1:12" ht="31.5" hidden="1" customHeight="1" x14ac:dyDescent="0.25">
      <c r="A57" s="914"/>
      <c r="B57" s="1125"/>
      <c r="C57" s="1111"/>
      <c r="D57" s="934" t="s">
        <v>283</v>
      </c>
      <c r="E57" s="806">
        <v>0</v>
      </c>
      <c r="F57" s="807">
        <v>0</v>
      </c>
      <c r="G57" s="1111"/>
      <c r="H57" s="1128"/>
      <c r="I57" s="1130"/>
      <c r="J57" s="1120"/>
      <c r="K57" s="1122"/>
      <c r="L57" s="463">
        <v>0</v>
      </c>
    </row>
    <row r="58" spans="1:12" ht="31.5" hidden="1" customHeight="1" thickBot="1" x14ac:dyDescent="0.3">
      <c r="A58" s="914"/>
      <c r="B58" s="1126"/>
      <c r="C58" s="1042"/>
      <c r="D58" s="730" t="s">
        <v>282</v>
      </c>
      <c r="E58" s="809">
        <v>0</v>
      </c>
      <c r="F58" s="810">
        <v>0</v>
      </c>
      <c r="G58" s="1042"/>
      <c r="H58" s="1113"/>
      <c r="I58" s="1131"/>
      <c r="J58" s="1116"/>
      <c r="K58" s="1123"/>
      <c r="L58" s="983">
        <v>0</v>
      </c>
    </row>
    <row r="59" spans="1:12" ht="31.5" hidden="1" customHeight="1" thickBot="1" x14ac:dyDescent="0.3">
      <c r="A59" s="914"/>
      <c r="B59" s="1124" t="s">
        <v>576</v>
      </c>
      <c r="C59" s="1041" t="s">
        <v>180</v>
      </c>
      <c r="D59" s="734" t="s">
        <v>225</v>
      </c>
      <c r="E59" s="349">
        <f>E60+E61</f>
        <v>0</v>
      </c>
      <c r="F59" s="341">
        <f>F60+F61</f>
        <v>0</v>
      </c>
      <c r="G59" s="1041" t="s">
        <v>426</v>
      </c>
      <c r="H59" s="654" t="s">
        <v>577</v>
      </c>
      <c r="I59" s="813" t="s">
        <v>351</v>
      </c>
      <c r="J59" s="952">
        <v>0</v>
      </c>
      <c r="K59" s="956">
        <v>0</v>
      </c>
      <c r="L59" s="981">
        <v>0</v>
      </c>
    </row>
    <row r="60" spans="1:12" ht="31.5" hidden="1" customHeight="1" thickBot="1" x14ac:dyDescent="0.3">
      <c r="A60" s="914"/>
      <c r="B60" s="1125"/>
      <c r="C60" s="1111"/>
      <c r="D60" s="934" t="s">
        <v>283</v>
      </c>
      <c r="E60" s="806">
        <v>0</v>
      </c>
      <c r="F60" s="807">
        <v>0</v>
      </c>
      <c r="G60" s="1111"/>
      <c r="H60" s="728" t="s">
        <v>578</v>
      </c>
      <c r="I60" s="813" t="s">
        <v>351</v>
      </c>
      <c r="J60" s="952">
        <v>0</v>
      </c>
      <c r="K60" s="956">
        <v>0</v>
      </c>
      <c r="L60" s="463">
        <v>0</v>
      </c>
    </row>
    <row r="61" spans="1:12" ht="31.5" hidden="1" customHeight="1" x14ac:dyDescent="0.25">
      <c r="A61" s="914"/>
      <c r="B61" s="1125"/>
      <c r="C61" s="1111"/>
      <c r="D61" s="1112" t="s">
        <v>282</v>
      </c>
      <c r="E61" s="1142">
        <v>0</v>
      </c>
      <c r="F61" s="1145">
        <v>0</v>
      </c>
      <c r="G61" s="1111"/>
      <c r="H61" s="728" t="s">
        <v>579</v>
      </c>
      <c r="I61" s="906" t="s">
        <v>351</v>
      </c>
      <c r="J61" s="916">
        <v>0</v>
      </c>
      <c r="K61" s="931">
        <v>0</v>
      </c>
      <c r="L61" s="964"/>
    </row>
    <row r="62" spans="1:12" ht="31.5" hidden="1" customHeight="1" x14ac:dyDescent="0.25">
      <c r="A62" s="914"/>
      <c r="B62" s="1125"/>
      <c r="C62" s="1111"/>
      <c r="D62" s="1128"/>
      <c r="E62" s="1143"/>
      <c r="F62" s="1146"/>
      <c r="G62" s="1111"/>
      <c r="H62" s="912" t="s">
        <v>580</v>
      </c>
      <c r="I62" s="910"/>
      <c r="J62" s="917"/>
      <c r="K62" s="933"/>
      <c r="L62" s="879"/>
    </row>
    <row r="63" spans="1:12" ht="31.5" hidden="1" customHeight="1" x14ac:dyDescent="0.25">
      <c r="A63" s="914"/>
      <c r="B63" s="1125"/>
      <c r="C63" s="1111"/>
      <c r="D63" s="1128"/>
      <c r="E63" s="1143"/>
      <c r="F63" s="1146"/>
      <c r="G63" s="1111"/>
      <c r="H63" s="912" t="s">
        <v>581</v>
      </c>
      <c r="I63" s="910"/>
      <c r="J63" s="917"/>
      <c r="K63" s="933"/>
      <c r="L63" s="879"/>
    </row>
    <row r="64" spans="1:12" ht="31.5" hidden="1" customHeight="1" x14ac:dyDescent="0.25">
      <c r="A64" s="914"/>
      <c r="B64" s="1125"/>
      <c r="C64" s="1111"/>
      <c r="D64" s="1128"/>
      <c r="E64" s="1143"/>
      <c r="F64" s="1146"/>
      <c r="G64" s="1111"/>
      <c r="H64" s="912" t="s">
        <v>582</v>
      </c>
      <c r="I64" s="910"/>
      <c r="J64" s="917"/>
      <c r="K64" s="933"/>
      <c r="L64" s="879"/>
    </row>
    <row r="65" spans="1:12" ht="31.5" hidden="1" customHeight="1" thickBot="1" x14ac:dyDescent="0.3">
      <c r="A65" s="914"/>
      <c r="B65" s="1126"/>
      <c r="C65" s="1042"/>
      <c r="D65" s="1113"/>
      <c r="E65" s="1148"/>
      <c r="F65" s="1149"/>
      <c r="G65" s="1042"/>
      <c r="H65" s="912" t="s">
        <v>583</v>
      </c>
      <c r="I65" s="907"/>
      <c r="J65" s="918"/>
      <c r="K65" s="930"/>
      <c r="L65" s="880"/>
    </row>
    <row r="66" spans="1:12" ht="31.5" hidden="1" customHeight="1" x14ac:dyDescent="0.25">
      <c r="A66" s="914"/>
      <c r="B66" s="1124" t="s">
        <v>584</v>
      </c>
      <c r="C66" s="1041" t="s">
        <v>180</v>
      </c>
      <c r="D66" s="734" t="s">
        <v>225</v>
      </c>
      <c r="E66" s="349">
        <f>E67+E68</f>
        <v>0</v>
      </c>
      <c r="F66" s="341">
        <f>F67+F68</f>
        <v>0</v>
      </c>
      <c r="G66" s="1041" t="s">
        <v>426</v>
      </c>
      <c r="H66" s="1127" t="s">
        <v>585</v>
      </c>
      <c r="I66" s="1129" t="s">
        <v>351</v>
      </c>
      <c r="J66" s="1119">
        <v>0</v>
      </c>
      <c r="K66" s="1121">
        <v>0</v>
      </c>
      <c r="L66" s="981">
        <v>0</v>
      </c>
    </row>
    <row r="67" spans="1:12" ht="20.25" hidden="1" customHeight="1" x14ac:dyDescent="0.25">
      <c r="A67" s="914"/>
      <c r="B67" s="1125"/>
      <c r="C67" s="1111"/>
      <c r="D67" s="934" t="s">
        <v>283</v>
      </c>
      <c r="E67" s="806">
        <v>0</v>
      </c>
      <c r="F67" s="807">
        <v>0</v>
      </c>
      <c r="G67" s="1111"/>
      <c r="H67" s="1128"/>
      <c r="I67" s="1130"/>
      <c r="J67" s="1120"/>
      <c r="K67" s="1122"/>
      <c r="L67" s="463">
        <v>0</v>
      </c>
    </row>
    <row r="68" spans="1:12" ht="21.75" hidden="1" customHeight="1" thickBot="1" x14ac:dyDescent="0.3">
      <c r="A68" s="914"/>
      <c r="B68" s="1126"/>
      <c r="C68" s="1042"/>
      <c r="D68" s="730" t="s">
        <v>282</v>
      </c>
      <c r="E68" s="809">
        <v>0</v>
      </c>
      <c r="F68" s="810">
        <v>0</v>
      </c>
      <c r="G68" s="1042"/>
      <c r="H68" s="1113"/>
      <c r="I68" s="1131"/>
      <c r="J68" s="1116"/>
      <c r="K68" s="1123"/>
      <c r="L68" s="983">
        <v>0</v>
      </c>
    </row>
    <row r="69" spans="1:12" ht="18" customHeight="1" x14ac:dyDescent="0.25">
      <c r="A69" s="914"/>
      <c r="B69" s="1181" t="s">
        <v>586</v>
      </c>
      <c r="C69" s="1045" t="s">
        <v>180</v>
      </c>
      <c r="D69" s="734" t="s">
        <v>225</v>
      </c>
      <c r="E69" s="371">
        <f>E70+E71</f>
        <v>364733900</v>
      </c>
      <c r="F69" s="371">
        <f>F70+F71</f>
        <v>20253906</v>
      </c>
      <c r="G69" s="1041"/>
      <c r="H69" s="1041"/>
      <c r="I69" s="1041"/>
      <c r="J69" s="1119"/>
      <c r="K69" s="1041"/>
      <c r="L69" s="981">
        <f>L70+L71</f>
        <v>364733900</v>
      </c>
    </row>
    <row r="70" spans="1:12" ht="15.75" customHeight="1" x14ac:dyDescent="0.25">
      <c r="A70" s="914"/>
      <c r="B70" s="1182"/>
      <c r="C70" s="1046"/>
      <c r="D70" s="934" t="s">
        <v>283</v>
      </c>
      <c r="E70" s="799">
        <f>E73+E79+E82+E85</f>
        <v>87794900</v>
      </c>
      <c r="F70" s="799">
        <f>F73+F79+F82+F85</f>
        <v>20253906</v>
      </c>
      <c r="G70" s="1111"/>
      <c r="H70" s="1111"/>
      <c r="I70" s="1111"/>
      <c r="J70" s="1120"/>
      <c r="K70" s="1111"/>
      <c r="L70" s="463">
        <f>L73+L79+L82+L85</f>
        <v>87794900</v>
      </c>
    </row>
    <row r="71" spans="1:12" ht="17.25" customHeight="1" thickBot="1" x14ac:dyDescent="0.3">
      <c r="A71" s="914"/>
      <c r="B71" s="1183"/>
      <c r="C71" s="1047"/>
      <c r="D71" s="730" t="s">
        <v>282</v>
      </c>
      <c r="E71" s="802">
        <f>E74+E80+E83+E86</f>
        <v>276939000</v>
      </c>
      <c r="F71" s="802">
        <f>F74+F80+F83+F86</f>
        <v>0</v>
      </c>
      <c r="G71" s="1042"/>
      <c r="H71" s="1042"/>
      <c r="I71" s="1042"/>
      <c r="J71" s="1116"/>
      <c r="K71" s="1042"/>
      <c r="L71" s="880">
        <f>L74+L80+L83</f>
        <v>276939000</v>
      </c>
    </row>
    <row r="72" spans="1:12" ht="31.5" customHeight="1" x14ac:dyDescent="0.25">
      <c r="A72" s="914"/>
      <c r="B72" s="1204" t="s">
        <v>852</v>
      </c>
      <c r="C72" s="1041" t="s">
        <v>180</v>
      </c>
      <c r="D72" s="734" t="s">
        <v>225</v>
      </c>
      <c r="E72" s="349">
        <f>E73+E74</f>
        <v>276939000</v>
      </c>
      <c r="F72" s="341">
        <f>F73+F74</f>
        <v>0</v>
      </c>
      <c r="G72" s="1041" t="s">
        <v>426</v>
      </c>
      <c r="H72" s="1127" t="s">
        <v>587</v>
      </c>
      <c r="I72" s="1041" t="s">
        <v>359</v>
      </c>
      <c r="J72" s="1119">
        <v>1</v>
      </c>
      <c r="K72" s="1121">
        <v>0</v>
      </c>
      <c r="L72" s="981">
        <f>L73+L74</f>
        <v>276939000</v>
      </c>
    </row>
    <row r="73" spans="1:12" ht="31.5" customHeight="1" x14ac:dyDescent="0.25">
      <c r="A73" s="914"/>
      <c r="B73" s="1205"/>
      <c r="C73" s="1111"/>
      <c r="D73" s="934" t="s">
        <v>283</v>
      </c>
      <c r="E73" s="806">
        <v>0</v>
      </c>
      <c r="F73" s="807">
        <v>0</v>
      </c>
      <c r="G73" s="1111"/>
      <c r="H73" s="1128"/>
      <c r="I73" s="1111"/>
      <c r="J73" s="1120"/>
      <c r="K73" s="1122"/>
      <c r="L73" s="463">
        <v>0</v>
      </c>
    </row>
    <row r="74" spans="1:12" ht="54.75" customHeight="1" x14ac:dyDescent="0.25">
      <c r="A74" s="914"/>
      <c r="B74" s="1205"/>
      <c r="C74" s="1111"/>
      <c r="D74" s="1112" t="s">
        <v>282</v>
      </c>
      <c r="E74" s="1142">
        <v>276939000</v>
      </c>
      <c r="F74" s="1145">
        <v>0</v>
      </c>
      <c r="G74" s="1111"/>
      <c r="H74" s="1128"/>
      <c r="I74" s="1166"/>
      <c r="J74" s="1167"/>
      <c r="K74" s="1122"/>
      <c r="L74" s="1138">
        <v>276939000</v>
      </c>
    </row>
    <row r="75" spans="1:12" ht="70.5" customHeight="1" x14ac:dyDescent="0.25">
      <c r="A75" s="914"/>
      <c r="B75" s="1205"/>
      <c r="C75" s="1111"/>
      <c r="D75" s="1128"/>
      <c r="E75" s="1143"/>
      <c r="F75" s="1146"/>
      <c r="G75" s="1111"/>
      <c r="H75" s="934" t="s">
        <v>811</v>
      </c>
      <c r="I75" s="920" t="s">
        <v>353</v>
      </c>
      <c r="J75" s="917">
        <v>53.7</v>
      </c>
      <c r="K75" s="929">
        <v>0</v>
      </c>
      <c r="L75" s="1139"/>
    </row>
    <row r="76" spans="1:12" ht="127.5" customHeight="1" x14ac:dyDescent="0.25">
      <c r="A76" s="914"/>
      <c r="B76" s="1205"/>
      <c r="C76" s="1111"/>
      <c r="D76" s="1128"/>
      <c r="E76" s="1143"/>
      <c r="F76" s="1146"/>
      <c r="G76" s="1111"/>
      <c r="H76" s="934" t="s">
        <v>812</v>
      </c>
      <c r="I76" s="920" t="s">
        <v>353</v>
      </c>
      <c r="J76" s="928">
        <v>23.5</v>
      </c>
      <c r="K76" s="957">
        <v>0</v>
      </c>
      <c r="L76" s="1139"/>
    </row>
    <row r="77" spans="1:12" ht="54.75" customHeight="1" thickBot="1" x14ac:dyDescent="0.3">
      <c r="A77" s="914"/>
      <c r="B77" s="1206"/>
      <c r="C77" s="1042"/>
      <c r="D77" s="1113"/>
      <c r="E77" s="1148"/>
      <c r="F77" s="1149"/>
      <c r="G77" s="1042"/>
      <c r="H77" s="912" t="s">
        <v>813</v>
      </c>
      <c r="I77" s="914" t="s">
        <v>353</v>
      </c>
      <c r="J77" s="959">
        <v>57.9</v>
      </c>
      <c r="K77" s="933">
        <v>0</v>
      </c>
      <c r="L77" s="1140"/>
    </row>
    <row r="78" spans="1:12" ht="31.5" customHeight="1" x14ac:dyDescent="0.25">
      <c r="A78" s="914"/>
      <c r="B78" s="1204" t="s">
        <v>850</v>
      </c>
      <c r="C78" s="1041" t="s">
        <v>180</v>
      </c>
      <c r="D78" s="734" t="s">
        <v>225</v>
      </c>
      <c r="E78" s="349">
        <f>E79+E80</f>
        <v>2889900</v>
      </c>
      <c r="F78" s="341">
        <f>F79+F80</f>
        <v>2405583</v>
      </c>
      <c r="G78" s="1041" t="s">
        <v>426</v>
      </c>
      <c r="H78" s="1127" t="s">
        <v>588</v>
      </c>
      <c r="I78" s="1129" t="s">
        <v>351</v>
      </c>
      <c r="J78" s="1119">
        <v>33.299999999999997</v>
      </c>
      <c r="K78" s="1121">
        <v>33.299999999999997</v>
      </c>
      <c r="L78" s="981">
        <f>L79+L80</f>
        <v>2889900</v>
      </c>
    </row>
    <row r="79" spans="1:12" ht="31.5" customHeight="1" x14ac:dyDescent="0.25">
      <c r="A79" s="914"/>
      <c r="B79" s="1205"/>
      <c r="C79" s="1111"/>
      <c r="D79" s="934" t="s">
        <v>283</v>
      </c>
      <c r="E79" s="806">
        <v>2889900</v>
      </c>
      <c r="F79" s="807">
        <v>2405583</v>
      </c>
      <c r="G79" s="1111"/>
      <c r="H79" s="1128"/>
      <c r="I79" s="1130"/>
      <c r="J79" s="1120"/>
      <c r="K79" s="1122"/>
      <c r="L79" s="463">
        <v>2889900</v>
      </c>
    </row>
    <row r="80" spans="1:12" ht="111.75" customHeight="1" thickBot="1" x14ac:dyDescent="0.3">
      <c r="A80" s="914"/>
      <c r="B80" s="1206"/>
      <c r="C80" s="1042"/>
      <c r="D80" s="730" t="s">
        <v>282</v>
      </c>
      <c r="E80" s="809">
        <v>0</v>
      </c>
      <c r="F80" s="810">
        <v>0</v>
      </c>
      <c r="G80" s="1042"/>
      <c r="H80" s="1113"/>
      <c r="I80" s="1131"/>
      <c r="J80" s="1116"/>
      <c r="K80" s="1123"/>
      <c r="L80" s="983">
        <v>0</v>
      </c>
    </row>
    <row r="81" spans="1:12" ht="31.5" customHeight="1" x14ac:dyDescent="0.25">
      <c r="A81" s="914"/>
      <c r="B81" s="1124" t="s">
        <v>589</v>
      </c>
      <c r="C81" s="1041" t="s">
        <v>180</v>
      </c>
      <c r="D81" s="734" t="s">
        <v>225</v>
      </c>
      <c r="E81" s="349">
        <f>E82+E83</f>
        <v>66805000</v>
      </c>
      <c r="F81" s="341">
        <f>F82+F83</f>
        <v>0</v>
      </c>
      <c r="G81" s="1041" t="s">
        <v>426</v>
      </c>
      <c r="H81" s="1127" t="s">
        <v>590</v>
      </c>
      <c r="I81" s="1129" t="s">
        <v>351</v>
      </c>
      <c r="J81" s="1119">
        <v>33.299999999999997</v>
      </c>
      <c r="K81" s="1121">
        <v>0</v>
      </c>
      <c r="L81" s="981">
        <f>L82+L83</f>
        <v>66805000</v>
      </c>
    </row>
    <row r="82" spans="1:12" ht="31.5" customHeight="1" x14ac:dyDescent="0.25">
      <c r="A82" s="914"/>
      <c r="B82" s="1125"/>
      <c r="C82" s="1111"/>
      <c r="D82" s="934" t="s">
        <v>283</v>
      </c>
      <c r="E82" s="806">
        <v>66805000</v>
      </c>
      <c r="F82" s="807">
        <v>0</v>
      </c>
      <c r="G82" s="1111"/>
      <c r="H82" s="1128"/>
      <c r="I82" s="1130"/>
      <c r="J82" s="1120"/>
      <c r="K82" s="1122"/>
      <c r="L82" s="463">
        <v>66805000</v>
      </c>
    </row>
    <row r="83" spans="1:12" ht="79.5" customHeight="1" thickBot="1" x14ac:dyDescent="0.3">
      <c r="A83" s="914"/>
      <c r="B83" s="1126"/>
      <c r="C83" s="1042"/>
      <c r="D83" s="730" t="s">
        <v>282</v>
      </c>
      <c r="E83" s="809">
        <v>0</v>
      </c>
      <c r="F83" s="810">
        <v>0</v>
      </c>
      <c r="G83" s="1042"/>
      <c r="H83" s="1113"/>
      <c r="I83" s="1131"/>
      <c r="J83" s="1116"/>
      <c r="K83" s="1123"/>
      <c r="L83" s="983">
        <v>0</v>
      </c>
    </row>
    <row r="84" spans="1:12" ht="31.5" customHeight="1" x14ac:dyDescent="0.25">
      <c r="A84" s="914"/>
      <c r="B84" s="1124" t="s">
        <v>591</v>
      </c>
      <c r="C84" s="1041" t="s">
        <v>180</v>
      </c>
      <c r="D84" s="734" t="s">
        <v>225</v>
      </c>
      <c r="E84" s="349">
        <f>E85+E86</f>
        <v>18100000</v>
      </c>
      <c r="F84" s="341">
        <f>F85+F86</f>
        <v>17848323</v>
      </c>
      <c r="G84" s="1041" t="s">
        <v>426</v>
      </c>
      <c r="H84" s="1127" t="s">
        <v>791</v>
      </c>
      <c r="I84" s="1129" t="s">
        <v>359</v>
      </c>
      <c r="J84" s="1119">
        <v>1</v>
      </c>
      <c r="K84" s="1121">
        <v>1</v>
      </c>
      <c r="L84" s="981">
        <f>L85+L86</f>
        <v>18100000</v>
      </c>
    </row>
    <row r="85" spans="1:12" ht="31.5" customHeight="1" x14ac:dyDescent="0.25">
      <c r="A85" s="914"/>
      <c r="B85" s="1125"/>
      <c r="C85" s="1111"/>
      <c r="D85" s="934" t="s">
        <v>283</v>
      </c>
      <c r="E85" s="806">
        <v>18100000</v>
      </c>
      <c r="F85" s="807">
        <v>17848323</v>
      </c>
      <c r="G85" s="1111"/>
      <c r="H85" s="1128"/>
      <c r="I85" s="1130"/>
      <c r="J85" s="1120"/>
      <c r="K85" s="1122"/>
      <c r="L85" s="463">
        <v>18100000</v>
      </c>
    </row>
    <row r="86" spans="1:12" ht="31.5" customHeight="1" thickBot="1" x14ac:dyDescent="0.3">
      <c r="A86" s="914"/>
      <c r="B86" s="1126"/>
      <c r="C86" s="1042"/>
      <c r="D86" s="730" t="s">
        <v>282</v>
      </c>
      <c r="E86" s="809">
        <v>0</v>
      </c>
      <c r="F86" s="810">
        <v>0</v>
      </c>
      <c r="G86" s="1042"/>
      <c r="H86" s="1113"/>
      <c r="I86" s="1131"/>
      <c r="J86" s="1116"/>
      <c r="K86" s="1123"/>
      <c r="L86" s="983">
        <v>0</v>
      </c>
    </row>
    <row r="87" spans="1:12" ht="17.25" customHeight="1" x14ac:dyDescent="0.25">
      <c r="A87" s="914"/>
      <c r="B87" s="1181" t="s">
        <v>556</v>
      </c>
      <c r="C87" s="1045" t="s">
        <v>180</v>
      </c>
      <c r="D87" s="734" t="s">
        <v>225</v>
      </c>
      <c r="E87" s="371">
        <f>E88+E89</f>
        <v>131576000</v>
      </c>
      <c r="F87" s="371">
        <f>F88+F89</f>
        <v>47794000</v>
      </c>
      <c r="G87" s="1041"/>
      <c r="H87" s="1041"/>
      <c r="I87" s="1041"/>
      <c r="J87" s="1119"/>
      <c r="K87" s="1041"/>
      <c r="L87" s="981">
        <f>L88+L89</f>
        <v>131576000</v>
      </c>
    </row>
    <row r="88" spans="1:12" ht="15" customHeight="1" x14ac:dyDescent="0.25">
      <c r="A88" s="914"/>
      <c r="B88" s="1182"/>
      <c r="C88" s="1046"/>
      <c r="D88" s="934" t="s">
        <v>283</v>
      </c>
      <c r="E88" s="799">
        <f>E91+E99+E102</f>
        <v>24394000</v>
      </c>
      <c r="F88" s="799">
        <f>F91+F99+F102</f>
        <v>7794000</v>
      </c>
      <c r="G88" s="1111"/>
      <c r="H88" s="1111"/>
      <c r="I88" s="1111"/>
      <c r="J88" s="1120"/>
      <c r="K88" s="1111"/>
      <c r="L88" s="463">
        <f>L91+L99+L102</f>
        <v>24394000</v>
      </c>
    </row>
    <row r="89" spans="1:12" ht="17.25" customHeight="1" thickBot="1" x14ac:dyDescent="0.3">
      <c r="A89" s="914"/>
      <c r="B89" s="1183"/>
      <c r="C89" s="1047"/>
      <c r="D89" s="730" t="s">
        <v>282</v>
      </c>
      <c r="E89" s="799">
        <f>E95+E100+E103</f>
        <v>107182000</v>
      </c>
      <c r="F89" s="799">
        <f>F95+F100+F103</f>
        <v>40000000</v>
      </c>
      <c r="G89" s="1042"/>
      <c r="H89" s="1042"/>
      <c r="I89" s="1042"/>
      <c r="J89" s="1116"/>
      <c r="K89" s="1042"/>
      <c r="L89" s="880">
        <f>L95+L100+L103</f>
        <v>107182000</v>
      </c>
    </row>
    <row r="90" spans="1:12" ht="78" customHeight="1" x14ac:dyDescent="0.25">
      <c r="A90" s="914"/>
      <c r="B90" s="1124" t="s">
        <v>592</v>
      </c>
      <c r="C90" s="1041" t="s">
        <v>180</v>
      </c>
      <c r="D90" s="734" t="s">
        <v>225</v>
      </c>
      <c r="E90" s="349">
        <f>E91+E95</f>
        <v>107182000</v>
      </c>
      <c r="F90" s="341">
        <f>F91+F95</f>
        <v>40000000</v>
      </c>
      <c r="G90" s="1041" t="s">
        <v>426</v>
      </c>
      <c r="H90" s="654" t="s">
        <v>593</v>
      </c>
      <c r="I90" s="813" t="s">
        <v>359</v>
      </c>
      <c r="J90" s="952">
        <v>1</v>
      </c>
      <c r="K90" s="931">
        <v>0</v>
      </c>
      <c r="L90" s="981">
        <f>L91+L95</f>
        <v>107182000</v>
      </c>
    </row>
    <row r="91" spans="1:12" ht="42.75" customHeight="1" x14ac:dyDescent="0.25">
      <c r="A91" s="914"/>
      <c r="B91" s="1125"/>
      <c r="C91" s="1111"/>
      <c r="D91" s="1112" t="s">
        <v>283</v>
      </c>
      <c r="E91" s="1142">
        <v>0</v>
      </c>
      <c r="F91" s="1145">
        <v>0</v>
      </c>
      <c r="G91" s="1111"/>
      <c r="H91" s="728" t="s">
        <v>814</v>
      </c>
      <c r="I91" s="935" t="s">
        <v>357</v>
      </c>
      <c r="J91" s="942">
        <v>23.8</v>
      </c>
      <c r="K91" s="957">
        <v>29.9</v>
      </c>
      <c r="L91" s="1138">
        <v>0</v>
      </c>
    </row>
    <row r="92" spans="1:12" ht="57" customHeight="1" x14ac:dyDescent="0.25">
      <c r="A92" s="914"/>
      <c r="B92" s="1125"/>
      <c r="C92" s="1111"/>
      <c r="D92" s="1128"/>
      <c r="E92" s="1143"/>
      <c r="F92" s="1146"/>
      <c r="G92" s="1111"/>
      <c r="H92" s="728" t="s">
        <v>815</v>
      </c>
      <c r="I92" s="935" t="s">
        <v>357</v>
      </c>
      <c r="J92" s="942">
        <v>77.5</v>
      </c>
      <c r="K92" s="957">
        <v>85.3</v>
      </c>
      <c r="L92" s="1139"/>
    </row>
    <row r="93" spans="1:12" ht="34.5" customHeight="1" x14ac:dyDescent="0.25">
      <c r="A93" s="914"/>
      <c r="B93" s="1125"/>
      <c r="C93" s="1111"/>
      <c r="D93" s="1128"/>
      <c r="E93" s="1143"/>
      <c r="F93" s="1146"/>
      <c r="G93" s="1111"/>
      <c r="H93" s="728" t="s">
        <v>816</v>
      </c>
      <c r="I93" s="935" t="s">
        <v>353</v>
      </c>
      <c r="J93" s="942">
        <v>7.5</v>
      </c>
      <c r="K93" s="933">
        <v>8.3000000000000007</v>
      </c>
      <c r="L93" s="1139"/>
    </row>
    <row r="94" spans="1:12" ht="59.25" customHeight="1" x14ac:dyDescent="0.25">
      <c r="A94" s="914"/>
      <c r="B94" s="1125"/>
      <c r="C94" s="1111"/>
      <c r="D94" s="1141"/>
      <c r="E94" s="1144"/>
      <c r="F94" s="1147"/>
      <c r="G94" s="1111"/>
      <c r="H94" s="728" t="s">
        <v>817</v>
      </c>
      <c r="I94" s="935" t="s">
        <v>353</v>
      </c>
      <c r="J94" s="942">
        <v>15</v>
      </c>
      <c r="K94" s="957">
        <v>18.600000000000001</v>
      </c>
      <c r="L94" s="1150"/>
    </row>
    <row r="95" spans="1:12" ht="89.25" customHeight="1" x14ac:dyDescent="0.25">
      <c r="A95" s="914"/>
      <c r="B95" s="1125"/>
      <c r="C95" s="1111"/>
      <c r="D95" s="1112" t="s">
        <v>282</v>
      </c>
      <c r="E95" s="1142">
        <v>107182000</v>
      </c>
      <c r="F95" s="1145">
        <v>40000000</v>
      </c>
      <c r="G95" s="1111"/>
      <c r="H95" s="728" t="s">
        <v>818</v>
      </c>
      <c r="I95" s="935" t="s">
        <v>353</v>
      </c>
      <c r="J95" s="942">
        <v>31.6</v>
      </c>
      <c r="K95" s="933">
        <v>25.3</v>
      </c>
      <c r="L95" s="1138">
        <v>107182000</v>
      </c>
    </row>
    <row r="96" spans="1:12" ht="56.25" customHeight="1" x14ac:dyDescent="0.25">
      <c r="A96" s="914"/>
      <c r="B96" s="1125"/>
      <c r="C96" s="1111"/>
      <c r="D96" s="1128"/>
      <c r="E96" s="1143"/>
      <c r="F96" s="1146"/>
      <c r="G96" s="1111"/>
      <c r="H96" s="728" t="s">
        <v>819</v>
      </c>
      <c r="I96" s="935" t="s">
        <v>821</v>
      </c>
      <c r="J96" s="942">
        <v>1.5009999999999999</v>
      </c>
      <c r="K96" s="957">
        <v>1.036</v>
      </c>
      <c r="L96" s="1139"/>
    </row>
    <row r="97" spans="1:13" ht="100.5" customHeight="1" thickBot="1" x14ac:dyDescent="0.3">
      <c r="A97" s="914"/>
      <c r="B97" s="1126"/>
      <c r="C97" s="1042"/>
      <c r="D97" s="1113"/>
      <c r="E97" s="1148"/>
      <c r="F97" s="1149"/>
      <c r="G97" s="1042"/>
      <c r="H97" s="151" t="s">
        <v>820</v>
      </c>
      <c r="I97" s="914" t="s">
        <v>353</v>
      </c>
      <c r="J97" s="917">
        <v>92.9</v>
      </c>
      <c r="K97" s="933">
        <v>100</v>
      </c>
      <c r="L97" s="1140"/>
    </row>
    <row r="98" spans="1:13" ht="31.5" customHeight="1" x14ac:dyDescent="0.25">
      <c r="A98" s="914"/>
      <c r="B98" s="1204" t="s">
        <v>850</v>
      </c>
      <c r="C98" s="1041" t="s">
        <v>180</v>
      </c>
      <c r="D98" s="734" t="s">
        <v>225</v>
      </c>
      <c r="E98" s="349">
        <f>E99+E100</f>
        <v>794000</v>
      </c>
      <c r="F98" s="341">
        <f>F99+F100</f>
        <v>794000</v>
      </c>
      <c r="G98" s="1041" t="s">
        <v>426</v>
      </c>
      <c r="H98" s="1128" t="s">
        <v>594</v>
      </c>
      <c r="I98" s="1041" t="s">
        <v>351</v>
      </c>
      <c r="J98" s="1121">
        <v>25</v>
      </c>
      <c r="K98" s="1121">
        <v>25</v>
      </c>
      <c r="L98" s="981">
        <f>L99+L100</f>
        <v>794000</v>
      </c>
    </row>
    <row r="99" spans="1:13" ht="31.5" customHeight="1" x14ac:dyDescent="0.25">
      <c r="A99" s="914"/>
      <c r="B99" s="1205"/>
      <c r="C99" s="1111"/>
      <c r="D99" s="934" t="s">
        <v>283</v>
      </c>
      <c r="E99" s="806">
        <v>794000</v>
      </c>
      <c r="F99" s="807">
        <v>794000</v>
      </c>
      <c r="G99" s="1111"/>
      <c r="H99" s="1128"/>
      <c r="I99" s="1111"/>
      <c r="J99" s="1122"/>
      <c r="K99" s="1122"/>
      <c r="L99" s="463">
        <v>794000</v>
      </c>
    </row>
    <row r="100" spans="1:13" ht="113.25" customHeight="1" thickBot="1" x14ac:dyDescent="0.3">
      <c r="A100" s="914"/>
      <c r="B100" s="1206"/>
      <c r="C100" s="1042"/>
      <c r="D100" s="730" t="s">
        <v>282</v>
      </c>
      <c r="E100" s="809">
        <v>0</v>
      </c>
      <c r="F100" s="810">
        <v>0</v>
      </c>
      <c r="G100" s="1042"/>
      <c r="H100" s="1113"/>
      <c r="I100" s="1042"/>
      <c r="J100" s="1123"/>
      <c r="K100" s="1123"/>
      <c r="L100" s="983">
        <v>0</v>
      </c>
    </row>
    <row r="101" spans="1:13" ht="31.5" customHeight="1" x14ac:dyDescent="0.25">
      <c r="A101" s="914"/>
      <c r="B101" s="1124" t="s">
        <v>589</v>
      </c>
      <c r="C101" s="1041" t="s">
        <v>180</v>
      </c>
      <c r="D101" s="734" t="s">
        <v>225</v>
      </c>
      <c r="E101" s="349">
        <f>E102+E103</f>
        <v>23600000</v>
      </c>
      <c r="F101" s="341">
        <f>F102+F103</f>
        <v>7000000</v>
      </c>
      <c r="G101" s="1041" t="s">
        <v>426</v>
      </c>
      <c r="H101" s="1127" t="s">
        <v>595</v>
      </c>
      <c r="I101" s="1129" t="s">
        <v>351</v>
      </c>
      <c r="J101" s="1119">
        <v>25</v>
      </c>
      <c r="K101" s="1121">
        <v>0</v>
      </c>
      <c r="L101" s="981">
        <f>L102+L103</f>
        <v>23600000</v>
      </c>
    </row>
    <row r="102" spans="1:13" ht="31.5" customHeight="1" x14ac:dyDescent="0.25">
      <c r="A102" s="914"/>
      <c r="B102" s="1125"/>
      <c r="C102" s="1111"/>
      <c r="D102" s="934" t="s">
        <v>283</v>
      </c>
      <c r="E102" s="806">
        <v>23600000</v>
      </c>
      <c r="F102" s="807">
        <v>7000000</v>
      </c>
      <c r="G102" s="1111"/>
      <c r="H102" s="1128"/>
      <c r="I102" s="1130"/>
      <c r="J102" s="1120"/>
      <c r="K102" s="1122"/>
      <c r="L102" s="463">
        <v>23600000</v>
      </c>
    </row>
    <row r="103" spans="1:13" ht="77.25" customHeight="1" thickBot="1" x14ac:dyDescent="0.3">
      <c r="A103" s="914"/>
      <c r="B103" s="1126"/>
      <c r="C103" s="1042"/>
      <c r="D103" s="730" t="s">
        <v>282</v>
      </c>
      <c r="E103" s="809">
        <v>0</v>
      </c>
      <c r="F103" s="810">
        <v>0</v>
      </c>
      <c r="G103" s="1042"/>
      <c r="H103" s="1113"/>
      <c r="I103" s="1131"/>
      <c r="J103" s="1116"/>
      <c r="K103" s="1123"/>
      <c r="L103" s="983">
        <v>0</v>
      </c>
    </row>
    <row r="104" spans="1:13" ht="56.25" customHeight="1" thickBot="1" x14ac:dyDescent="0.3">
      <c r="A104" s="914"/>
      <c r="B104" s="925" t="s">
        <v>596</v>
      </c>
      <c r="C104" s="814" t="s">
        <v>180</v>
      </c>
      <c r="D104" s="815" t="s">
        <v>225</v>
      </c>
      <c r="E104" s="816">
        <f>E105+E106</f>
        <v>150903723.47999999</v>
      </c>
      <c r="F104" s="828">
        <f>F105+F106</f>
        <v>46358565.93</v>
      </c>
      <c r="G104" s="827"/>
      <c r="H104" s="816"/>
      <c r="I104" s="816"/>
      <c r="J104" s="828"/>
      <c r="K104" s="955"/>
      <c r="L104" s="816">
        <f>L105+L106</f>
        <v>150903723.47999999</v>
      </c>
      <c r="M104" s="762">
        <f>M105+M106</f>
        <v>0</v>
      </c>
    </row>
    <row r="105" spans="1:13" ht="16.5" customHeight="1" x14ac:dyDescent="0.25">
      <c r="A105" s="914"/>
      <c r="B105" s="817"/>
      <c r="C105" s="818"/>
      <c r="D105" s="819" t="s">
        <v>283</v>
      </c>
      <c r="E105" s="820">
        <f>E108+E121+E124</f>
        <v>51755123.479999997</v>
      </c>
      <c r="F105" s="876">
        <f>F108+F121+F124</f>
        <v>16616690.6</v>
      </c>
      <c r="G105" s="888"/>
      <c r="H105" s="820"/>
      <c r="I105" s="820"/>
      <c r="J105" s="876"/>
      <c r="K105" s="954"/>
      <c r="L105" s="820">
        <f>L108+L121+L124</f>
        <v>51755123.479999997</v>
      </c>
      <c r="M105" s="763">
        <f>M108+M121+M124</f>
        <v>0</v>
      </c>
    </row>
    <row r="106" spans="1:13" ht="18" customHeight="1" thickBot="1" x14ac:dyDescent="0.3">
      <c r="A106" s="914"/>
      <c r="B106" s="821"/>
      <c r="C106" s="822"/>
      <c r="D106" s="823" t="s">
        <v>282</v>
      </c>
      <c r="E106" s="824">
        <f>E113+E122+E125</f>
        <v>99148600</v>
      </c>
      <c r="F106" s="890">
        <f>F113+F122+F125</f>
        <v>29741875.329999998</v>
      </c>
      <c r="G106" s="889"/>
      <c r="H106" s="824"/>
      <c r="I106" s="824"/>
      <c r="J106" s="877"/>
      <c r="K106" s="881"/>
      <c r="L106" s="824">
        <f>L119+L122+L125</f>
        <v>99148600</v>
      </c>
      <c r="M106" s="764">
        <f>M119+M122+M125</f>
        <v>0</v>
      </c>
    </row>
    <row r="107" spans="1:13" ht="57" customHeight="1" x14ac:dyDescent="0.25">
      <c r="A107" s="914"/>
      <c r="B107" s="1124" t="s">
        <v>597</v>
      </c>
      <c r="C107" s="1041" t="s">
        <v>180</v>
      </c>
      <c r="D107" s="734" t="s">
        <v>225</v>
      </c>
      <c r="E107" s="349">
        <f>E108+E113</f>
        <v>106611398</v>
      </c>
      <c r="F107" s="341">
        <f>F108+F113</f>
        <v>32206317.559999999</v>
      </c>
      <c r="G107" s="1041" t="s">
        <v>426</v>
      </c>
      <c r="H107" s="150" t="s">
        <v>598</v>
      </c>
      <c r="I107" s="906" t="s">
        <v>822</v>
      </c>
      <c r="J107" s="916">
        <v>3.4</v>
      </c>
      <c r="K107" s="895">
        <v>4.5999999999999996</v>
      </c>
      <c r="L107" s="981">
        <f>L108+L119</f>
        <v>106611398</v>
      </c>
    </row>
    <row r="108" spans="1:13" ht="42.75" customHeight="1" x14ac:dyDescent="0.25">
      <c r="A108" s="914"/>
      <c r="B108" s="1125"/>
      <c r="C108" s="1111"/>
      <c r="D108" s="1112" t="s">
        <v>283</v>
      </c>
      <c r="E108" s="1151">
        <v>7462798</v>
      </c>
      <c r="F108" s="1145">
        <v>2464442.23</v>
      </c>
      <c r="G108" s="1111"/>
      <c r="H108" s="743" t="s">
        <v>824</v>
      </c>
      <c r="I108" s="920" t="s">
        <v>353</v>
      </c>
      <c r="J108" s="957">
        <v>74</v>
      </c>
      <c r="K108" s="879">
        <v>79.7</v>
      </c>
      <c r="L108" s="463">
        <v>7462798</v>
      </c>
    </row>
    <row r="109" spans="1:13" ht="47.25" customHeight="1" x14ac:dyDescent="0.25">
      <c r="A109" s="914"/>
      <c r="B109" s="1125"/>
      <c r="C109" s="1111"/>
      <c r="D109" s="1128"/>
      <c r="E109" s="1152"/>
      <c r="F109" s="1146"/>
      <c r="G109" s="1111"/>
      <c r="H109" s="743" t="s">
        <v>825</v>
      </c>
      <c r="I109" s="910" t="s">
        <v>822</v>
      </c>
      <c r="J109" s="957">
        <v>4.3</v>
      </c>
      <c r="K109" s="964">
        <v>5.7</v>
      </c>
      <c r="L109" s="984"/>
    </row>
    <row r="110" spans="1:13" ht="51" customHeight="1" x14ac:dyDescent="0.25">
      <c r="A110" s="914"/>
      <c r="B110" s="1125"/>
      <c r="C110" s="1111"/>
      <c r="D110" s="1128"/>
      <c r="E110" s="1152"/>
      <c r="F110" s="1146"/>
      <c r="G110" s="1111"/>
      <c r="H110" s="728" t="s">
        <v>826</v>
      </c>
      <c r="I110" s="920" t="s">
        <v>823</v>
      </c>
      <c r="J110" s="957">
        <v>37</v>
      </c>
      <c r="K110" s="964">
        <v>23.9</v>
      </c>
      <c r="L110" s="984"/>
    </row>
    <row r="111" spans="1:13" ht="48" customHeight="1" x14ac:dyDescent="0.25">
      <c r="A111" s="914"/>
      <c r="B111" s="1125"/>
      <c r="C111" s="1111"/>
      <c r="D111" s="1128"/>
      <c r="E111" s="1152"/>
      <c r="F111" s="1146"/>
      <c r="G111" s="1111"/>
      <c r="H111" s="767" t="s">
        <v>827</v>
      </c>
      <c r="I111" s="910" t="s">
        <v>353</v>
      </c>
      <c r="J111" s="917">
        <v>52</v>
      </c>
      <c r="K111" s="964">
        <v>51.8</v>
      </c>
      <c r="L111" s="984"/>
    </row>
    <row r="112" spans="1:13" ht="92.25" customHeight="1" x14ac:dyDescent="0.25">
      <c r="A112" s="914"/>
      <c r="B112" s="1125"/>
      <c r="C112" s="1111"/>
      <c r="D112" s="1141"/>
      <c r="E112" s="1153"/>
      <c r="F112" s="1147"/>
      <c r="G112" s="1111"/>
      <c r="H112" s="61" t="s">
        <v>828</v>
      </c>
      <c r="I112" s="920" t="s">
        <v>353</v>
      </c>
      <c r="J112" s="957">
        <v>35</v>
      </c>
      <c r="K112" s="463">
        <v>36.700000000000003</v>
      </c>
      <c r="L112" s="984"/>
    </row>
    <row r="113" spans="1:13" ht="51" customHeight="1" x14ac:dyDescent="0.25">
      <c r="A113" s="914"/>
      <c r="B113" s="1125"/>
      <c r="C113" s="1111"/>
      <c r="D113" s="1112" t="s">
        <v>282</v>
      </c>
      <c r="E113" s="1142">
        <v>99148600</v>
      </c>
      <c r="F113" s="1145">
        <v>29741875.329999998</v>
      </c>
      <c r="G113" s="1111"/>
      <c r="H113" s="743" t="s">
        <v>829</v>
      </c>
      <c r="I113" s="910" t="s">
        <v>353</v>
      </c>
      <c r="J113" s="957">
        <v>20</v>
      </c>
      <c r="K113" s="463">
        <v>20.3</v>
      </c>
      <c r="L113" s="984"/>
    </row>
    <row r="114" spans="1:13" ht="49.5" customHeight="1" x14ac:dyDescent="0.25">
      <c r="A114" s="914"/>
      <c r="B114" s="1125"/>
      <c r="C114" s="1111"/>
      <c r="D114" s="1128"/>
      <c r="E114" s="1143"/>
      <c r="F114" s="1146"/>
      <c r="G114" s="1111"/>
      <c r="H114" s="743" t="s">
        <v>830</v>
      </c>
      <c r="I114" s="927" t="s">
        <v>353</v>
      </c>
      <c r="J114" s="917">
        <v>35</v>
      </c>
      <c r="K114" s="463">
        <v>37</v>
      </c>
      <c r="L114" s="984"/>
    </row>
    <row r="115" spans="1:13" ht="55.5" customHeight="1" x14ac:dyDescent="0.25">
      <c r="A115" s="914"/>
      <c r="B115" s="1125"/>
      <c r="C115" s="1111"/>
      <c r="D115" s="1128"/>
      <c r="E115" s="1143"/>
      <c r="F115" s="1146"/>
      <c r="G115" s="1111"/>
      <c r="H115" s="728" t="s">
        <v>831</v>
      </c>
      <c r="I115" s="920" t="s">
        <v>353</v>
      </c>
      <c r="J115" s="929">
        <v>70</v>
      </c>
      <c r="K115" s="879">
        <v>68.400000000000006</v>
      </c>
      <c r="L115" s="984"/>
    </row>
    <row r="116" spans="1:13" ht="51" customHeight="1" x14ac:dyDescent="0.25">
      <c r="A116" s="914"/>
      <c r="B116" s="1125"/>
      <c r="C116" s="1111"/>
      <c r="D116" s="1128"/>
      <c r="E116" s="1143"/>
      <c r="F116" s="1146"/>
      <c r="G116" s="1111"/>
      <c r="H116" s="728" t="s">
        <v>832</v>
      </c>
      <c r="I116" s="920" t="s">
        <v>353</v>
      </c>
      <c r="J116" s="957">
        <v>60</v>
      </c>
      <c r="K116" s="964">
        <v>57.8</v>
      </c>
      <c r="L116" s="984"/>
    </row>
    <row r="117" spans="1:13" ht="138" customHeight="1" x14ac:dyDescent="0.25">
      <c r="A117" s="914"/>
      <c r="B117" s="1125"/>
      <c r="C117" s="1111"/>
      <c r="D117" s="1128"/>
      <c r="E117" s="1143"/>
      <c r="F117" s="1146"/>
      <c r="G117" s="1111"/>
      <c r="H117" s="767" t="s">
        <v>568</v>
      </c>
      <c r="I117" s="910" t="s">
        <v>353</v>
      </c>
      <c r="J117" s="917">
        <v>20</v>
      </c>
      <c r="K117" s="964">
        <v>10</v>
      </c>
      <c r="L117" s="984"/>
    </row>
    <row r="118" spans="1:13" ht="114" customHeight="1" x14ac:dyDescent="0.25">
      <c r="A118" s="914"/>
      <c r="B118" s="1125"/>
      <c r="C118" s="1111"/>
      <c r="D118" s="1128"/>
      <c r="E118" s="1143"/>
      <c r="F118" s="1146"/>
      <c r="G118" s="1111"/>
      <c r="H118" s="728" t="s">
        <v>570</v>
      </c>
      <c r="I118" s="920" t="s">
        <v>353</v>
      </c>
      <c r="J118" s="929">
        <v>3.5</v>
      </c>
      <c r="K118" s="463">
        <v>0</v>
      </c>
      <c r="L118" s="984"/>
    </row>
    <row r="119" spans="1:13" ht="180.75" customHeight="1" thickBot="1" x14ac:dyDescent="0.3">
      <c r="A119" s="914"/>
      <c r="B119" s="1126"/>
      <c r="C119" s="1042"/>
      <c r="D119" s="1113"/>
      <c r="E119" s="1148"/>
      <c r="F119" s="1149"/>
      <c r="G119" s="1042"/>
      <c r="H119" s="766" t="s">
        <v>571</v>
      </c>
      <c r="I119" s="907" t="s">
        <v>353</v>
      </c>
      <c r="J119" s="958">
        <v>20</v>
      </c>
      <c r="K119" s="879">
        <v>10</v>
      </c>
      <c r="L119" s="983">
        <v>99148600</v>
      </c>
    </row>
    <row r="120" spans="1:13" ht="31.5" customHeight="1" x14ac:dyDescent="0.25">
      <c r="A120" s="914"/>
      <c r="B120" s="1204" t="s">
        <v>854</v>
      </c>
      <c r="C120" s="1041" t="s">
        <v>180</v>
      </c>
      <c r="D120" s="734" t="s">
        <v>225</v>
      </c>
      <c r="E120" s="349">
        <f>E121+E122</f>
        <v>6488596</v>
      </c>
      <c r="F120" s="341">
        <f>F121+F122</f>
        <v>750000</v>
      </c>
      <c r="G120" s="1041" t="s">
        <v>426</v>
      </c>
      <c r="H120" s="1127" t="s">
        <v>599</v>
      </c>
      <c r="I120" s="1129" t="s">
        <v>351</v>
      </c>
      <c r="J120" s="1119">
        <v>100</v>
      </c>
      <c r="K120" s="1121">
        <v>50</v>
      </c>
      <c r="L120" s="981">
        <f>L121+L122</f>
        <v>6488596</v>
      </c>
    </row>
    <row r="121" spans="1:13" ht="31.5" customHeight="1" x14ac:dyDescent="0.25">
      <c r="A121" s="914"/>
      <c r="B121" s="1205"/>
      <c r="C121" s="1111"/>
      <c r="D121" s="934" t="s">
        <v>283</v>
      </c>
      <c r="E121" s="806">
        <v>6488596</v>
      </c>
      <c r="F121" s="807">
        <v>750000</v>
      </c>
      <c r="G121" s="1111"/>
      <c r="H121" s="1128"/>
      <c r="I121" s="1130"/>
      <c r="J121" s="1120"/>
      <c r="K121" s="1122"/>
      <c r="L121" s="463">
        <v>6488596</v>
      </c>
    </row>
    <row r="122" spans="1:13" ht="50.25" customHeight="1" thickBot="1" x14ac:dyDescent="0.3">
      <c r="A122" s="914"/>
      <c r="B122" s="1206"/>
      <c r="C122" s="1042"/>
      <c r="D122" s="730" t="s">
        <v>282</v>
      </c>
      <c r="E122" s="809">
        <v>0</v>
      </c>
      <c r="F122" s="810">
        <v>0</v>
      </c>
      <c r="G122" s="1042"/>
      <c r="H122" s="1113"/>
      <c r="I122" s="1131"/>
      <c r="J122" s="1116"/>
      <c r="K122" s="1123"/>
      <c r="L122" s="983">
        <v>0</v>
      </c>
    </row>
    <row r="123" spans="1:13" ht="31.5" customHeight="1" x14ac:dyDescent="0.25">
      <c r="A123" s="914"/>
      <c r="B123" s="1124" t="s">
        <v>589</v>
      </c>
      <c r="C123" s="1041" t="s">
        <v>180</v>
      </c>
      <c r="D123" s="734" t="s">
        <v>225</v>
      </c>
      <c r="E123" s="349">
        <f>E124+E125</f>
        <v>37803729.479999997</v>
      </c>
      <c r="F123" s="341">
        <f>F124+F125</f>
        <v>13402248.369999999</v>
      </c>
      <c r="G123" s="1041" t="s">
        <v>426</v>
      </c>
      <c r="H123" s="1127" t="s">
        <v>600</v>
      </c>
      <c r="I123" s="1129" t="s">
        <v>351</v>
      </c>
      <c r="J123" s="1119">
        <v>100</v>
      </c>
      <c r="K123" s="1121">
        <v>0</v>
      </c>
      <c r="L123" s="981">
        <f>L124+L125</f>
        <v>37803729.479999997</v>
      </c>
    </row>
    <row r="124" spans="1:13" ht="31.5" customHeight="1" x14ac:dyDescent="0.25">
      <c r="A124" s="914"/>
      <c r="B124" s="1125"/>
      <c r="C124" s="1111"/>
      <c r="D124" s="934" t="s">
        <v>283</v>
      </c>
      <c r="E124" s="806">
        <v>37803729.479999997</v>
      </c>
      <c r="F124" s="807">
        <v>13402248.369999999</v>
      </c>
      <c r="G124" s="1111"/>
      <c r="H124" s="1128"/>
      <c r="I124" s="1130"/>
      <c r="J124" s="1120"/>
      <c r="K124" s="1122"/>
      <c r="L124" s="463">
        <v>37803729.479999997</v>
      </c>
    </row>
    <row r="125" spans="1:13" ht="31.5" customHeight="1" thickBot="1" x14ac:dyDescent="0.3">
      <c r="A125" s="914"/>
      <c r="B125" s="1126"/>
      <c r="C125" s="1042"/>
      <c r="D125" s="730" t="s">
        <v>282</v>
      </c>
      <c r="E125" s="809">
        <v>0</v>
      </c>
      <c r="F125" s="810">
        <v>0</v>
      </c>
      <c r="G125" s="1042"/>
      <c r="H125" s="1113"/>
      <c r="I125" s="1131"/>
      <c r="J125" s="1116"/>
      <c r="K125" s="1123"/>
      <c r="L125" s="983">
        <v>0</v>
      </c>
    </row>
    <row r="126" spans="1:13" ht="41.25" customHeight="1" thickBot="1" x14ac:dyDescent="0.3">
      <c r="A126" s="914"/>
      <c r="B126" s="23" t="s">
        <v>601</v>
      </c>
      <c r="C126" s="825" t="s">
        <v>180</v>
      </c>
      <c r="D126" s="826" t="s">
        <v>225</v>
      </c>
      <c r="E126" s="827">
        <f>E127+E130</f>
        <v>93693900</v>
      </c>
      <c r="F126" s="827">
        <f>F127+F130</f>
        <v>47362980</v>
      </c>
      <c r="G126" s="1224" t="s">
        <v>426</v>
      </c>
      <c r="H126" s="829" t="s">
        <v>780</v>
      </c>
      <c r="I126" s="829" t="s">
        <v>781</v>
      </c>
      <c r="J126" s="897">
        <v>0.42299999999999999</v>
      </c>
      <c r="K126" s="965">
        <v>0.30450500000000003</v>
      </c>
      <c r="L126" s="985">
        <f>L130+L132</f>
        <v>93693900</v>
      </c>
      <c r="M126" s="773"/>
    </row>
    <row r="127" spans="1:13" ht="101.25" customHeight="1" x14ac:dyDescent="0.25">
      <c r="A127" s="914"/>
      <c r="B127" s="817"/>
      <c r="C127" s="1216"/>
      <c r="D127" s="1207" t="s">
        <v>283</v>
      </c>
      <c r="E127" s="1210">
        <f>E146+E143</f>
        <v>38500000</v>
      </c>
      <c r="F127" s="1213">
        <f>F134+F137+F140</f>
        <v>0</v>
      </c>
      <c r="G127" s="1225"/>
      <c r="H127" s="830" t="s">
        <v>782</v>
      </c>
      <c r="I127" s="831" t="s">
        <v>353</v>
      </c>
      <c r="J127" s="898">
        <v>16.399999999999999</v>
      </c>
      <c r="K127" s="966">
        <v>17.2</v>
      </c>
      <c r="L127" s="986">
        <v>0</v>
      </c>
      <c r="M127" s="773"/>
    </row>
    <row r="128" spans="1:13" ht="62.25" customHeight="1" x14ac:dyDescent="0.25">
      <c r="A128" s="914"/>
      <c r="B128" s="817"/>
      <c r="C128" s="1217"/>
      <c r="D128" s="1208"/>
      <c r="E128" s="1211"/>
      <c r="F128" s="1214"/>
      <c r="G128" s="1225"/>
      <c r="H128" s="832" t="s">
        <v>783</v>
      </c>
      <c r="I128" s="833" t="s">
        <v>353</v>
      </c>
      <c r="J128" s="899">
        <v>52</v>
      </c>
      <c r="K128" s="900">
        <v>70</v>
      </c>
      <c r="L128" s="833"/>
      <c r="M128" s="773"/>
    </row>
    <row r="129" spans="1:13" ht="89.25" customHeight="1" x14ac:dyDescent="0.25">
      <c r="A129" s="914"/>
      <c r="B129" s="834"/>
      <c r="C129" s="1218"/>
      <c r="D129" s="1209"/>
      <c r="E129" s="1212"/>
      <c r="F129" s="1215"/>
      <c r="G129" s="1226"/>
      <c r="H129" s="463" t="s">
        <v>784</v>
      </c>
      <c r="I129" s="835" t="s">
        <v>353</v>
      </c>
      <c r="J129" s="901">
        <v>54.4</v>
      </c>
      <c r="K129" s="967">
        <v>0</v>
      </c>
      <c r="L129" s="833"/>
      <c r="M129" s="773"/>
    </row>
    <row r="130" spans="1:13" ht="198.75" customHeight="1" x14ac:dyDescent="0.25">
      <c r="A130" s="914"/>
      <c r="B130" s="1229"/>
      <c r="C130" s="1227"/>
      <c r="D130" s="1227" t="s">
        <v>282</v>
      </c>
      <c r="E130" s="1219">
        <f>E135+E138+E141</f>
        <v>55193900</v>
      </c>
      <c r="F130" s="1219">
        <f>F135+F138+F141</f>
        <v>47362980</v>
      </c>
      <c r="G130" s="1221"/>
      <c r="H130" s="836" t="s">
        <v>785</v>
      </c>
      <c r="I130" s="837" t="s">
        <v>353</v>
      </c>
      <c r="J130" s="902">
        <v>8.3000000000000007</v>
      </c>
      <c r="K130" s="967">
        <v>0</v>
      </c>
      <c r="L130" s="1414">
        <v>93693900</v>
      </c>
      <c r="M130" s="773"/>
    </row>
    <row r="131" spans="1:13" ht="40.5" customHeight="1" x14ac:dyDescent="0.25">
      <c r="A131" s="914"/>
      <c r="B131" s="1230"/>
      <c r="C131" s="1217"/>
      <c r="D131" s="1217"/>
      <c r="E131" s="1214"/>
      <c r="F131" s="1214"/>
      <c r="G131" s="1222"/>
      <c r="H131" s="838" t="s">
        <v>786</v>
      </c>
      <c r="I131" s="838" t="s">
        <v>787</v>
      </c>
      <c r="J131" s="900">
        <v>18.600000000000001</v>
      </c>
      <c r="K131" s="900">
        <v>0</v>
      </c>
      <c r="L131" s="1415"/>
      <c r="M131" s="773"/>
    </row>
    <row r="132" spans="1:13" ht="101.25" customHeight="1" thickBot="1" x14ac:dyDescent="0.3">
      <c r="A132" s="914"/>
      <c r="B132" s="1231"/>
      <c r="C132" s="1228"/>
      <c r="D132" s="1228"/>
      <c r="E132" s="1220"/>
      <c r="F132" s="1220"/>
      <c r="G132" s="1223"/>
      <c r="H132" s="809" t="s">
        <v>788</v>
      </c>
      <c r="I132" s="839" t="s">
        <v>359</v>
      </c>
      <c r="J132" s="903">
        <v>25</v>
      </c>
      <c r="K132" s="903">
        <v>0</v>
      </c>
      <c r="L132" s="1416"/>
      <c r="M132" s="773"/>
    </row>
    <row r="133" spans="1:13" ht="31.5" hidden="1" customHeight="1" x14ac:dyDescent="0.25">
      <c r="A133" s="914"/>
      <c r="B133" s="1124" t="s">
        <v>602</v>
      </c>
      <c r="C133" s="1041" t="s">
        <v>180</v>
      </c>
      <c r="D133" s="734" t="s">
        <v>225</v>
      </c>
      <c r="E133" s="349">
        <f>E134+E135</f>
        <v>0</v>
      </c>
      <c r="F133" s="341">
        <f>F134+F135</f>
        <v>0</v>
      </c>
      <c r="G133" s="1041" t="s">
        <v>426</v>
      </c>
      <c r="H133" s="150" t="s">
        <v>603</v>
      </c>
      <c r="I133" s="840" t="s">
        <v>357</v>
      </c>
      <c r="J133" s="875">
        <v>0</v>
      </c>
      <c r="K133" s="878">
        <v>0</v>
      </c>
      <c r="L133" s="981">
        <f>L134+L135</f>
        <v>0</v>
      </c>
    </row>
    <row r="134" spans="1:13" ht="31.5" hidden="1" customHeight="1" x14ac:dyDescent="0.25">
      <c r="A134" s="914"/>
      <c r="B134" s="1125"/>
      <c r="C134" s="1111"/>
      <c r="D134" s="934" t="s">
        <v>283</v>
      </c>
      <c r="E134" s="806">
        <v>0</v>
      </c>
      <c r="F134" s="807">
        <v>0</v>
      </c>
      <c r="G134" s="1111"/>
      <c r="H134" s="61" t="s">
        <v>617</v>
      </c>
      <c r="I134" s="841" t="s">
        <v>353</v>
      </c>
      <c r="J134" s="838">
        <v>0</v>
      </c>
      <c r="K134" s="879">
        <v>0</v>
      </c>
      <c r="L134" s="463">
        <v>0</v>
      </c>
    </row>
    <row r="135" spans="1:13" ht="31.5" hidden="1" customHeight="1" thickBot="1" x14ac:dyDescent="0.3">
      <c r="A135" s="914"/>
      <c r="B135" s="1126"/>
      <c r="C135" s="1042"/>
      <c r="D135" s="730" t="s">
        <v>282</v>
      </c>
      <c r="E135" s="809">
        <v>0</v>
      </c>
      <c r="F135" s="810">
        <v>0</v>
      </c>
      <c r="G135" s="1042"/>
      <c r="H135" s="766"/>
      <c r="I135" s="843"/>
      <c r="J135" s="845"/>
      <c r="K135" s="880"/>
      <c r="L135" s="983">
        <v>0</v>
      </c>
    </row>
    <row r="136" spans="1:13" ht="31.5" customHeight="1" x14ac:dyDescent="0.25">
      <c r="A136" s="914"/>
      <c r="B136" s="1124" t="s">
        <v>604</v>
      </c>
      <c r="C136" s="1041" t="s">
        <v>180</v>
      </c>
      <c r="D136" s="734" t="s">
        <v>225</v>
      </c>
      <c r="E136" s="349">
        <f>E137+E138</f>
        <v>44868800</v>
      </c>
      <c r="F136" s="341">
        <f>F137+F138</f>
        <v>43921280</v>
      </c>
      <c r="G136" s="1041" t="s">
        <v>426</v>
      </c>
      <c r="H136" s="1127" t="s">
        <v>605</v>
      </c>
      <c r="I136" s="1129" t="s">
        <v>606</v>
      </c>
      <c r="J136" s="1119">
        <v>5</v>
      </c>
      <c r="K136" s="1121">
        <v>0</v>
      </c>
      <c r="L136" s="981">
        <f>L137+L138</f>
        <v>44868800</v>
      </c>
    </row>
    <row r="137" spans="1:13" ht="31.5" customHeight="1" x14ac:dyDescent="0.25">
      <c r="A137" s="914"/>
      <c r="B137" s="1125"/>
      <c r="C137" s="1111"/>
      <c r="D137" s="934" t="s">
        <v>283</v>
      </c>
      <c r="E137" s="806">
        <v>0</v>
      </c>
      <c r="F137" s="807">
        <v>0</v>
      </c>
      <c r="G137" s="1111"/>
      <c r="H137" s="1128"/>
      <c r="I137" s="1130"/>
      <c r="J137" s="1120"/>
      <c r="K137" s="1122"/>
      <c r="L137" s="463">
        <v>0</v>
      </c>
    </row>
    <row r="138" spans="1:13" ht="31.5" customHeight="1" thickBot="1" x14ac:dyDescent="0.3">
      <c r="A138" s="914"/>
      <c r="B138" s="1126"/>
      <c r="C138" s="1042"/>
      <c r="D138" s="730" t="s">
        <v>282</v>
      </c>
      <c r="E138" s="809">
        <v>44868800</v>
      </c>
      <c r="F138" s="810">
        <v>43921280</v>
      </c>
      <c r="G138" s="1042"/>
      <c r="H138" s="1113"/>
      <c r="I138" s="1131"/>
      <c r="J138" s="1116"/>
      <c r="K138" s="1123"/>
      <c r="L138" s="983">
        <v>44868800</v>
      </c>
    </row>
    <row r="139" spans="1:13" ht="31.5" customHeight="1" x14ac:dyDescent="0.25">
      <c r="A139" s="914"/>
      <c r="B139" s="1124" t="s">
        <v>607</v>
      </c>
      <c r="C139" s="1041" t="s">
        <v>180</v>
      </c>
      <c r="D139" s="734" t="s">
        <v>225</v>
      </c>
      <c r="E139" s="349">
        <f>E140+E141</f>
        <v>10325100</v>
      </c>
      <c r="F139" s="341">
        <f>F140+F141</f>
        <v>3441700</v>
      </c>
      <c r="G139" s="1041" t="s">
        <v>426</v>
      </c>
      <c r="H139" s="1127" t="s">
        <v>608</v>
      </c>
      <c r="I139" s="1129" t="s">
        <v>606</v>
      </c>
      <c r="J139" s="1119">
        <v>2</v>
      </c>
      <c r="K139" s="1121">
        <v>0</v>
      </c>
      <c r="L139" s="981">
        <f>L140+L141</f>
        <v>10325100</v>
      </c>
    </row>
    <row r="140" spans="1:13" ht="31.5" customHeight="1" x14ac:dyDescent="0.25">
      <c r="A140" s="914"/>
      <c r="B140" s="1125"/>
      <c r="C140" s="1111"/>
      <c r="D140" s="934" t="s">
        <v>283</v>
      </c>
      <c r="E140" s="806">
        <v>0</v>
      </c>
      <c r="F140" s="807">
        <v>0</v>
      </c>
      <c r="G140" s="1111"/>
      <c r="H140" s="1128"/>
      <c r="I140" s="1130"/>
      <c r="J140" s="1120"/>
      <c r="K140" s="1122"/>
      <c r="L140" s="463">
        <v>0</v>
      </c>
    </row>
    <row r="141" spans="1:13" ht="31.5" customHeight="1" thickBot="1" x14ac:dyDescent="0.3">
      <c r="A141" s="914"/>
      <c r="B141" s="1126"/>
      <c r="C141" s="1042"/>
      <c r="D141" s="730" t="s">
        <v>282</v>
      </c>
      <c r="E141" s="809">
        <v>10325100</v>
      </c>
      <c r="F141" s="810">
        <v>3441700</v>
      </c>
      <c r="G141" s="1042"/>
      <c r="H141" s="1113"/>
      <c r="I141" s="1131"/>
      <c r="J141" s="1116"/>
      <c r="K141" s="1123"/>
      <c r="L141" s="983">
        <v>10325100</v>
      </c>
    </row>
    <row r="142" spans="1:13" ht="31.5" customHeight="1" x14ac:dyDescent="0.25">
      <c r="A142" s="914"/>
      <c r="B142" s="1124" t="s">
        <v>841</v>
      </c>
      <c r="C142" s="1041" t="s">
        <v>180</v>
      </c>
      <c r="D142" s="734" t="s">
        <v>225</v>
      </c>
      <c r="E142" s="349">
        <f>E143+E144</f>
        <v>36000000</v>
      </c>
      <c r="F142" s="341">
        <f>F143+F144</f>
        <v>0</v>
      </c>
      <c r="G142" s="1041" t="s">
        <v>426</v>
      </c>
      <c r="H142" s="1127" t="s">
        <v>842</v>
      </c>
      <c r="I142" s="1129" t="s">
        <v>606</v>
      </c>
      <c r="J142" s="1119">
        <v>9</v>
      </c>
      <c r="K142" s="1121">
        <v>0</v>
      </c>
      <c r="L142" s="981">
        <f>L143+L144</f>
        <v>10325100</v>
      </c>
    </row>
    <row r="143" spans="1:13" ht="31.5" customHeight="1" x14ac:dyDescent="0.25">
      <c r="A143" s="914"/>
      <c r="B143" s="1125"/>
      <c r="C143" s="1111"/>
      <c r="D143" s="934" t="s">
        <v>283</v>
      </c>
      <c r="E143" s="1417">
        <v>36000000</v>
      </c>
      <c r="F143" s="807">
        <v>0</v>
      </c>
      <c r="G143" s="1111"/>
      <c r="H143" s="1128"/>
      <c r="I143" s="1130"/>
      <c r="J143" s="1120"/>
      <c r="K143" s="1122"/>
      <c r="L143" s="463">
        <v>0</v>
      </c>
    </row>
    <row r="144" spans="1:13" ht="31.5" customHeight="1" thickBot="1" x14ac:dyDescent="0.3">
      <c r="A144" s="914"/>
      <c r="B144" s="1126"/>
      <c r="C144" s="1042"/>
      <c r="D144" s="730" t="s">
        <v>282</v>
      </c>
      <c r="E144" s="809"/>
      <c r="F144" s="810">
        <v>0</v>
      </c>
      <c r="G144" s="1042"/>
      <c r="H144" s="1113"/>
      <c r="I144" s="1131"/>
      <c r="J144" s="1116"/>
      <c r="K144" s="1123"/>
      <c r="L144" s="983">
        <v>10325100</v>
      </c>
    </row>
    <row r="145" spans="1:13" ht="31.5" customHeight="1" x14ac:dyDescent="0.25">
      <c r="A145" s="914"/>
      <c r="B145" s="1124" t="s">
        <v>843</v>
      </c>
      <c r="C145" s="1041" t="s">
        <v>180</v>
      </c>
      <c r="D145" s="734" t="s">
        <v>225</v>
      </c>
      <c r="E145" s="349">
        <f>E146+E147</f>
        <v>2500000</v>
      </c>
      <c r="F145" s="341">
        <f>F146+F147</f>
        <v>0</v>
      </c>
      <c r="G145" s="1041" t="s">
        <v>426</v>
      </c>
      <c r="H145" s="1127" t="s">
        <v>844</v>
      </c>
      <c r="I145" s="1129" t="s">
        <v>351</v>
      </c>
      <c r="J145" s="1119">
        <v>100</v>
      </c>
      <c r="K145" s="1121">
        <v>0</v>
      </c>
      <c r="L145" s="981">
        <f>L146+L147</f>
        <v>10325100</v>
      </c>
    </row>
    <row r="146" spans="1:13" ht="31.5" customHeight="1" x14ac:dyDescent="0.25">
      <c r="A146" s="914"/>
      <c r="B146" s="1125"/>
      <c r="C146" s="1111"/>
      <c r="D146" s="934" t="s">
        <v>283</v>
      </c>
      <c r="E146" s="1417">
        <v>2500000</v>
      </c>
      <c r="F146" s="807">
        <v>0</v>
      </c>
      <c r="G146" s="1111"/>
      <c r="H146" s="1128"/>
      <c r="I146" s="1130"/>
      <c r="J146" s="1120"/>
      <c r="K146" s="1122"/>
      <c r="L146" s="463">
        <v>0</v>
      </c>
    </row>
    <row r="147" spans="1:13" ht="31.5" customHeight="1" thickBot="1" x14ac:dyDescent="0.3">
      <c r="A147" s="914"/>
      <c r="B147" s="1126"/>
      <c r="C147" s="1042"/>
      <c r="D147" s="730" t="s">
        <v>282</v>
      </c>
      <c r="E147" s="809">
        <v>0</v>
      </c>
      <c r="F147" s="810">
        <v>0</v>
      </c>
      <c r="G147" s="1042"/>
      <c r="H147" s="1113"/>
      <c r="I147" s="1131"/>
      <c r="J147" s="1116"/>
      <c r="K147" s="1123"/>
      <c r="L147" s="983">
        <v>10325100</v>
      </c>
    </row>
    <row r="148" spans="1:13" ht="64.5" customHeight="1" thickBot="1" x14ac:dyDescent="0.3">
      <c r="A148" s="914"/>
      <c r="B148" s="23" t="s">
        <v>609</v>
      </c>
      <c r="C148" s="814" t="s">
        <v>180</v>
      </c>
      <c r="D148" s="815" t="s">
        <v>225</v>
      </c>
      <c r="E148" s="816">
        <f>E149+E150</f>
        <v>117530000</v>
      </c>
      <c r="F148" s="816">
        <f>F149+F150</f>
        <v>0</v>
      </c>
      <c r="G148" s="816"/>
      <c r="H148" s="816"/>
      <c r="I148" s="816"/>
      <c r="J148" s="828"/>
      <c r="K148" s="955"/>
      <c r="L148" s="828">
        <f>L149+L150</f>
        <v>117530000</v>
      </c>
      <c r="M148" s="773"/>
    </row>
    <row r="149" spans="1:13" ht="15.75" customHeight="1" x14ac:dyDescent="0.25">
      <c r="A149" s="914"/>
      <c r="B149" s="817"/>
      <c r="C149" s="818"/>
      <c r="D149" s="819" t="s">
        <v>283</v>
      </c>
      <c r="E149" s="820">
        <f>E152</f>
        <v>20000000</v>
      </c>
      <c r="F149" s="820">
        <f>F152</f>
        <v>0</v>
      </c>
      <c r="G149" s="820"/>
      <c r="H149" s="820"/>
      <c r="I149" s="820"/>
      <c r="J149" s="876"/>
      <c r="K149" s="954"/>
      <c r="L149" s="876">
        <f>L152</f>
        <v>40000000</v>
      </c>
      <c r="M149" s="773"/>
    </row>
    <row r="150" spans="1:13" ht="15" customHeight="1" thickBot="1" x14ac:dyDescent="0.3">
      <c r="A150" s="914"/>
      <c r="B150" s="821"/>
      <c r="C150" s="822"/>
      <c r="D150" s="823" t="s">
        <v>282</v>
      </c>
      <c r="E150" s="824">
        <f>E153</f>
        <v>97530000</v>
      </c>
      <c r="F150" s="824">
        <f>F153</f>
        <v>0</v>
      </c>
      <c r="G150" s="824"/>
      <c r="H150" s="824"/>
      <c r="I150" s="824"/>
      <c r="J150" s="877"/>
      <c r="K150" s="881"/>
      <c r="L150" s="877">
        <f>L153</f>
        <v>77530000</v>
      </c>
      <c r="M150" s="773"/>
    </row>
    <row r="151" spans="1:13" ht="51.75" customHeight="1" x14ac:dyDescent="0.25">
      <c r="A151" s="914"/>
      <c r="B151" s="1124" t="s">
        <v>610</v>
      </c>
      <c r="C151" s="1127" t="s">
        <v>180</v>
      </c>
      <c r="D151" s="734" t="s">
        <v>225</v>
      </c>
      <c r="E151" s="349">
        <f>E152+E153</f>
        <v>117530000</v>
      </c>
      <c r="F151" s="341">
        <f>F152+F153</f>
        <v>0</v>
      </c>
      <c r="G151" s="1041" t="s">
        <v>426</v>
      </c>
      <c r="H151" s="150" t="s">
        <v>611</v>
      </c>
      <c r="I151" s="811" t="s">
        <v>359</v>
      </c>
      <c r="J151" s="952">
        <v>0</v>
      </c>
      <c r="K151" s="956">
        <v>0</v>
      </c>
      <c r="L151" s="981">
        <f>L152+L153</f>
        <v>117530000</v>
      </c>
    </row>
    <row r="152" spans="1:13" ht="100.5" customHeight="1" x14ac:dyDescent="0.25">
      <c r="A152" s="914"/>
      <c r="B152" s="1125"/>
      <c r="C152" s="1128"/>
      <c r="D152" s="934" t="s">
        <v>283</v>
      </c>
      <c r="E152" s="806">
        <v>20000000</v>
      </c>
      <c r="F152" s="807">
        <v>0</v>
      </c>
      <c r="G152" s="1111"/>
      <c r="H152" s="61" t="s">
        <v>612</v>
      </c>
      <c r="I152" s="812" t="s">
        <v>613</v>
      </c>
      <c r="J152" s="942">
        <v>27.43</v>
      </c>
      <c r="K152" s="957">
        <v>0</v>
      </c>
      <c r="L152" s="463">
        <v>40000000</v>
      </c>
    </row>
    <row r="153" spans="1:13" ht="101.25" customHeight="1" x14ac:dyDescent="0.25">
      <c r="A153" s="914"/>
      <c r="B153" s="1125"/>
      <c r="C153" s="1128"/>
      <c r="D153" s="743" t="s">
        <v>282</v>
      </c>
      <c r="E153" s="832">
        <v>97530000</v>
      </c>
      <c r="F153" s="704">
        <v>0</v>
      </c>
      <c r="G153" s="1111"/>
      <c r="H153" s="767" t="s">
        <v>614</v>
      </c>
      <c r="I153" s="844" t="s">
        <v>353</v>
      </c>
      <c r="J153" s="924">
        <v>26</v>
      </c>
      <c r="K153" s="957">
        <v>0</v>
      </c>
      <c r="L153" s="987">
        <v>77530000</v>
      </c>
    </row>
    <row r="154" spans="1:13" ht="152.25" customHeight="1" x14ac:dyDescent="0.25">
      <c r="A154" s="914"/>
      <c r="B154" s="1125"/>
      <c r="C154" s="1128"/>
      <c r="D154" s="61"/>
      <c r="E154" s="838"/>
      <c r="F154" s="842"/>
      <c r="G154" s="1111"/>
      <c r="H154" s="61" t="s">
        <v>615</v>
      </c>
      <c r="I154" s="844" t="s">
        <v>353</v>
      </c>
      <c r="J154" s="942">
        <v>4</v>
      </c>
      <c r="K154" s="957">
        <v>0</v>
      </c>
      <c r="L154" s="984"/>
    </row>
    <row r="155" spans="1:13" ht="175.5" customHeight="1" thickBot="1" x14ac:dyDescent="0.3">
      <c r="A155" s="914"/>
      <c r="B155" s="1126"/>
      <c r="C155" s="1113"/>
      <c r="D155" s="766"/>
      <c r="E155" s="845"/>
      <c r="F155" s="340"/>
      <c r="G155" s="1042"/>
      <c r="H155" s="61" t="s">
        <v>616</v>
      </c>
      <c r="I155" s="844" t="s">
        <v>353</v>
      </c>
      <c r="J155" s="917">
        <v>42</v>
      </c>
      <c r="K155" s="933">
        <v>0</v>
      </c>
      <c r="L155" s="984"/>
    </row>
    <row r="156" spans="1:13" x14ac:dyDescent="0.25">
      <c r="A156" s="1129"/>
      <c r="B156" s="1181" t="s">
        <v>69</v>
      </c>
      <c r="C156" s="1045" t="s">
        <v>180</v>
      </c>
      <c r="D156" s="734" t="s">
        <v>225</v>
      </c>
      <c r="E156" s="371">
        <f>E157+E158</f>
        <v>456857317.13999999</v>
      </c>
      <c r="F156" s="371">
        <f>F157+F158</f>
        <v>321747855.41999996</v>
      </c>
      <c r="G156" s="1045"/>
      <c r="H156" s="1045"/>
      <c r="I156" s="1201"/>
      <c r="J156" s="1200"/>
      <c r="K156" s="1045"/>
      <c r="L156" s="981">
        <f>L157+L158</f>
        <v>456857317.13999999</v>
      </c>
    </row>
    <row r="157" spans="1:13" x14ac:dyDescent="0.25">
      <c r="A157" s="1130"/>
      <c r="B157" s="1182"/>
      <c r="C157" s="1046"/>
      <c r="D157" s="727" t="s">
        <v>283</v>
      </c>
      <c r="E157" s="770">
        <f>E160+E217+E223</f>
        <v>241394617.14000002</v>
      </c>
      <c r="F157" s="770">
        <f>F160+F217+F223</f>
        <v>143506294.77000001</v>
      </c>
      <c r="G157" s="1046"/>
      <c r="H157" s="1046"/>
      <c r="I157" s="1202"/>
      <c r="J157" s="1173"/>
      <c r="K157" s="1046"/>
      <c r="L157" s="988">
        <f>L160+L217+L223</f>
        <v>389940217.13999999</v>
      </c>
    </row>
    <row r="158" spans="1:13" ht="15.75" thickBot="1" x14ac:dyDescent="0.3">
      <c r="A158" s="1130"/>
      <c r="B158" s="1183"/>
      <c r="C158" s="1047"/>
      <c r="D158" s="771" t="s">
        <v>282</v>
      </c>
      <c r="E158" s="770">
        <f>E161+E218+E224+E242</f>
        <v>215462700</v>
      </c>
      <c r="F158" s="770">
        <f>F161+F218+F224+F242</f>
        <v>178241560.64999998</v>
      </c>
      <c r="G158" s="1047"/>
      <c r="H158" s="1047"/>
      <c r="I158" s="1203"/>
      <c r="J158" s="1174"/>
      <c r="K158" s="1047"/>
      <c r="L158" s="989">
        <f>L161+L218+L224+L242</f>
        <v>66917100</v>
      </c>
    </row>
    <row r="159" spans="1:13" x14ac:dyDescent="0.25">
      <c r="A159" s="1130"/>
      <c r="B159" s="1188" t="s">
        <v>71</v>
      </c>
      <c r="C159" s="1046" t="s">
        <v>180</v>
      </c>
      <c r="D159" s="734" t="s">
        <v>225</v>
      </c>
      <c r="E159" s="371">
        <f>E160+E161</f>
        <v>216658162.14000002</v>
      </c>
      <c r="F159" s="371">
        <f>F160+F161</f>
        <v>129038035.27000001</v>
      </c>
      <c r="G159" s="1041"/>
      <c r="H159" s="1041"/>
      <c r="I159" s="1041"/>
      <c r="J159" s="1119"/>
      <c r="K159" s="1041"/>
      <c r="L159" s="981">
        <f>L160+L161</f>
        <v>216658162.14000002</v>
      </c>
    </row>
    <row r="160" spans="1:13" x14ac:dyDescent="0.25">
      <c r="A160" s="1130"/>
      <c r="B160" s="1189"/>
      <c r="C160" s="1046"/>
      <c r="D160" s="934" t="s">
        <v>283</v>
      </c>
      <c r="E160" s="799">
        <f>E163+E187+E211+E214</f>
        <v>216658162.14000002</v>
      </c>
      <c r="F160" s="799">
        <f>F163+F187+F211+F214</f>
        <v>129038035.27000001</v>
      </c>
      <c r="G160" s="1111"/>
      <c r="H160" s="1111"/>
      <c r="I160" s="1111"/>
      <c r="J160" s="1120"/>
      <c r="K160" s="1111"/>
      <c r="L160" s="463">
        <f>L163+L187+L211+L214</f>
        <v>216658162.14000002</v>
      </c>
    </row>
    <row r="161" spans="1:12" ht="15.75" thickBot="1" x14ac:dyDescent="0.3">
      <c r="A161" s="1130"/>
      <c r="B161" s="1190"/>
      <c r="C161" s="1046"/>
      <c r="D161" s="730" t="s">
        <v>282</v>
      </c>
      <c r="E161" s="799">
        <f>E164+E188+E212+E215</f>
        <v>0</v>
      </c>
      <c r="F161" s="799">
        <f>F164+F188+F212+F215</f>
        <v>0</v>
      </c>
      <c r="G161" s="1042"/>
      <c r="H161" s="1042"/>
      <c r="I161" s="1042"/>
      <c r="J161" s="1116"/>
      <c r="K161" s="1042"/>
      <c r="L161" s="880">
        <f>L164+L188+L212+L215</f>
        <v>0</v>
      </c>
    </row>
    <row r="162" spans="1:12" ht="20.25" customHeight="1" x14ac:dyDescent="0.25">
      <c r="A162" s="1130"/>
      <c r="B162" s="1197" t="s">
        <v>24</v>
      </c>
      <c r="C162" s="1041" t="s">
        <v>180</v>
      </c>
      <c r="D162" s="734" t="s">
        <v>225</v>
      </c>
      <c r="E162" s="349">
        <f>E163+E164</f>
        <v>58933644.060000002</v>
      </c>
      <c r="F162" s="341">
        <f>F163+F164</f>
        <v>42084311.369999997</v>
      </c>
      <c r="G162" s="1129" t="s">
        <v>426</v>
      </c>
      <c r="H162" s="1127" t="s">
        <v>790</v>
      </c>
      <c r="I162" s="1129" t="s">
        <v>353</v>
      </c>
      <c r="J162" s="1119">
        <v>200</v>
      </c>
      <c r="K162" s="1041">
        <v>208.5</v>
      </c>
      <c r="L162" s="979">
        <f>L163+L164</f>
        <v>58933644.060000002</v>
      </c>
    </row>
    <row r="163" spans="1:12" ht="18" customHeight="1" x14ac:dyDescent="0.25">
      <c r="A163" s="1130"/>
      <c r="B163" s="1198"/>
      <c r="C163" s="1111"/>
      <c r="D163" s="922" t="s">
        <v>283</v>
      </c>
      <c r="E163" s="836">
        <v>58933644.060000002</v>
      </c>
      <c r="F163" s="465">
        <v>42084311.369999997</v>
      </c>
      <c r="G163" s="1130"/>
      <c r="H163" s="1128"/>
      <c r="I163" s="1130"/>
      <c r="J163" s="1120"/>
      <c r="K163" s="1111"/>
      <c r="L163" s="987">
        <v>58933644.060000002</v>
      </c>
    </row>
    <row r="164" spans="1:12" ht="19.5" customHeight="1" thickBot="1" x14ac:dyDescent="0.3">
      <c r="A164" s="1130"/>
      <c r="B164" s="1198"/>
      <c r="C164" s="1111"/>
      <c r="D164" s="913" t="s">
        <v>282</v>
      </c>
      <c r="E164" s="845">
        <f>0</f>
        <v>0</v>
      </c>
      <c r="F164" s="340">
        <v>0</v>
      </c>
      <c r="G164" s="1130"/>
      <c r="H164" s="1128"/>
      <c r="I164" s="1130"/>
      <c r="J164" s="1120"/>
      <c r="K164" s="1111"/>
      <c r="L164" s="983">
        <v>0</v>
      </c>
    </row>
    <row r="165" spans="1:12" ht="25.5" customHeight="1" x14ac:dyDescent="0.25">
      <c r="A165" s="1130"/>
      <c r="B165" s="1198"/>
      <c r="C165" s="1111"/>
      <c r="D165" s="1041"/>
      <c r="E165" s="1129"/>
      <c r="F165" s="1178"/>
      <c r="G165" s="1130"/>
      <c r="H165" s="1128"/>
      <c r="I165" s="1130"/>
      <c r="J165" s="1120"/>
      <c r="K165" s="1111"/>
      <c r="L165" s="1322"/>
    </row>
    <row r="166" spans="1:12" ht="25.5" customHeight="1" x14ac:dyDescent="0.25">
      <c r="A166" s="1130"/>
      <c r="B166" s="1198"/>
      <c r="C166" s="1111"/>
      <c r="D166" s="1111"/>
      <c r="E166" s="1130"/>
      <c r="F166" s="1179"/>
      <c r="G166" s="1130"/>
      <c r="H166" s="1128"/>
      <c r="I166" s="1130"/>
      <c r="J166" s="1120"/>
      <c r="K166" s="1111"/>
      <c r="L166" s="1323"/>
    </row>
    <row r="167" spans="1:12" ht="25.5" customHeight="1" x14ac:dyDescent="0.25">
      <c r="A167" s="1130"/>
      <c r="B167" s="1198"/>
      <c r="C167" s="1111"/>
      <c r="D167" s="1111"/>
      <c r="E167" s="1130"/>
      <c r="F167" s="1179"/>
      <c r="G167" s="1130"/>
      <c r="H167" s="1128"/>
      <c r="I167" s="1130"/>
      <c r="J167" s="1120"/>
      <c r="K167" s="1111"/>
      <c r="L167" s="1323"/>
    </row>
    <row r="168" spans="1:12" ht="25.5" customHeight="1" x14ac:dyDescent="0.25">
      <c r="A168" s="1130"/>
      <c r="B168" s="1198"/>
      <c r="C168" s="1111"/>
      <c r="D168" s="1111"/>
      <c r="E168" s="1130"/>
      <c r="F168" s="1179"/>
      <c r="G168" s="1130"/>
      <c r="H168" s="1128"/>
      <c r="I168" s="1130"/>
      <c r="J168" s="1120"/>
      <c r="K168" s="1111"/>
      <c r="L168" s="1323"/>
    </row>
    <row r="169" spans="1:12" ht="25.5" customHeight="1" x14ac:dyDescent="0.25">
      <c r="A169" s="1130"/>
      <c r="B169" s="1198"/>
      <c r="C169" s="1111"/>
      <c r="D169" s="1111"/>
      <c r="E169" s="1130"/>
      <c r="F169" s="1179"/>
      <c r="G169" s="1130"/>
      <c r="H169" s="1128"/>
      <c r="I169" s="1130"/>
      <c r="J169" s="1120"/>
      <c r="K169" s="1111"/>
      <c r="L169" s="1323"/>
    </row>
    <row r="170" spans="1:12" ht="25.5" customHeight="1" x14ac:dyDescent="0.25">
      <c r="A170" s="1130"/>
      <c r="B170" s="1198"/>
      <c r="C170" s="1111"/>
      <c r="D170" s="1111"/>
      <c r="E170" s="1130"/>
      <c r="F170" s="1179"/>
      <c r="G170" s="1130"/>
      <c r="H170" s="1128"/>
      <c r="I170" s="1130"/>
      <c r="J170" s="1120"/>
      <c r="K170" s="1111"/>
      <c r="L170" s="1323"/>
    </row>
    <row r="171" spans="1:12" ht="14.25" customHeight="1" x14ac:dyDescent="0.25">
      <c r="A171" s="1130"/>
      <c r="B171" s="1198"/>
      <c r="C171" s="1111"/>
      <c r="D171" s="1111"/>
      <c r="E171" s="1130"/>
      <c r="F171" s="1179"/>
      <c r="G171" s="1130"/>
      <c r="H171" s="1128"/>
      <c r="I171" s="1130"/>
      <c r="J171" s="1120"/>
      <c r="K171" s="1111"/>
      <c r="L171" s="1323"/>
    </row>
    <row r="172" spans="1:12" ht="0.75" hidden="1" customHeight="1" x14ac:dyDescent="0.25">
      <c r="A172" s="1130"/>
      <c r="B172" s="1198"/>
      <c r="C172" s="1111"/>
      <c r="D172" s="1111"/>
      <c r="E172" s="1130"/>
      <c r="F172" s="1179"/>
      <c r="G172" s="1130"/>
      <c r="H172" s="1141"/>
      <c r="I172" s="1385"/>
      <c r="J172" s="1167"/>
      <c r="K172" s="1166"/>
      <c r="L172" s="1323"/>
    </row>
    <row r="173" spans="1:12" ht="25.5" customHeight="1" x14ac:dyDescent="0.25">
      <c r="A173" s="1130"/>
      <c r="B173" s="1198"/>
      <c r="C173" s="1111"/>
      <c r="D173" s="1111"/>
      <c r="E173" s="1130"/>
      <c r="F173" s="1179"/>
      <c r="G173" s="1130"/>
      <c r="H173" s="1409" t="s">
        <v>619</v>
      </c>
      <c r="I173" s="1410" t="s">
        <v>353</v>
      </c>
      <c r="J173" s="1163">
        <v>100</v>
      </c>
      <c r="K173" s="1386">
        <v>107.6</v>
      </c>
      <c r="L173" s="1323"/>
    </row>
    <row r="174" spans="1:12" ht="25.5" customHeight="1" x14ac:dyDescent="0.25">
      <c r="A174" s="1130"/>
      <c r="B174" s="1198"/>
      <c r="C174" s="1111"/>
      <c r="D174" s="1111"/>
      <c r="E174" s="1130"/>
      <c r="F174" s="1179"/>
      <c r="G174" s="1130"/>
      <c r="H174" s="1409"/>
      <c r="I174" s="1410"/>
      <c r="J174" s="1163"/>
      <c r="K174" s="1386"/>
      <c r="L174" s="1323"/>
    </row>
    <row r="175" spans="1:12" ht="25.5" customHeight="1" x14ac:dyDescent="0.25">
      <c r="A175" s="1130"/>
      <c r="B175" s="1198"/>
      <c r="C175" s="1111"/>
      <c r="D175" s="1111"/>
      <c r="E175" s="1130"/>
      <c r="F175" s="1179"/>
      <c r="G175" s="1130"/>
      <c r="H175" s="1409"/>
      <c r="I175" s="1410"/>
      <c r="J175" s="1163"/>
      <c r="K175" s="1386"/>
      <c r="L175" s="1323"/>
    </row>
    <row r="176" spans="1:12" ht="25.5" customHeight="1" x14ac:dyDescent="0.25">
      <c r="A176" s="1130"/>
      <c r="B176" s="1198"/>
      <c r="C176" s="1111"/>
      <c r="D176" s="1111"/>
      <c r="E176" s="1130"/>
      <c r="F176" s="1179"/>
      <c r="G176" s="1130"/>
      <c r="H176" s="1409"/>
      <c r="I176" s="1410"/>
      <c r="J176" s="1163"/>
      <c r="K176" s="1386"/>
      <c r="L176" s="1323"/>
    </row>
    <row r="177" spans="1:12" ht="25.5" customHeight="1" x14ac:dyDescent="0.25">
      <c r="A177" s="1130"/>
      <c r="B177" s="1198"/>
      <c r="C177" s="1111"/>
      <c r="D177" s="1111"/>
      <c r="E177" s="1130"/>
      <c r="F177" s="1179"/>
      <c r="G177" s="1130"/>
      <c r="H177" s="1409"/>
      <c r="I177" s="1410"/>
      <c r="J177" s="1163"/>
      <c r="K177" s="1386"/>
      <c r="L177" s="1323"/>
    </row>
    <row r="178" spans="1:12" ht="9" customHeight="1" x14ac:dyDescent="0.25">
      <c r="A178" s="1130"/>
      <c r="B178" s="1198"/>
      <c r="C178" s="1111"/>
      <c r="D178" s="1111"/>
      <c r="E178" s="1130"/>
      <c r="F178" s="1179"/>
      <c r="G178" s="1130"/>
      <c r="H178" s="1409"/>
      <c r="I178" s="1410"/>
      <c r="J178" s="1163"/>
      <c r="K178" s="1386"/>
      <c r="L178" s="1323"/>
    </row>
    <row r="179" spans="1:12" ht="25.5" hidden="1" customHeight="1" x14ac:dyDescent="0.25">
      <c r="A179" s="1130"/>
      <c r="B179" s="1198"/>
      <c r="C179" s="1111"/>
      <c r="D179" s="1111"/>
      <c r="E179" s="1130"/>
      <c r="F179" s="1179"/>
      <c r="G179" s="1130"/>
      <c r="H179" s="1409"/>
      <c r="I179" s="1410"/>
      <c r="J179" s="1163"/>
      <c r="K179" s="1386"/>
      <c r="L179" s="1323"/>
    </row>
    <row r="180" spans="1:12" ht="25.5" customHeight="1" x14ac:dyDescent="0.25">
      <c r="A180" s="1130"/>
      <c r="B180" s="1198"/>
      <c r="C180" s="1111"/>
      <c r="D180" s="1111"/>
      <c r="E180" s="1130"/>
      <c r="F180" s="1179"/>
      <c r="G180" s="1130"/>
      <c r="H180" s="1112" t="s">
        <v>620</v>
      </c>
      <c r="I180" s="1384" t="s">
        <v>353</v>
      </c>
      <c r="J180" s="1115">
        <v>100</v>
      </c>
      <c r="K180" s="1114">
        <v>100.5</v>
      </c>
      <c r="L180" s="1323"/>
    </row>
    <row r="181" spans="1:12" ht="25.5" customHeight="1" x14ac:dyDescent="0.25">
      <c r="A181" s="1130"/>
      <c r="B181" s="1198"/>
      <c r="C181" s="1111"/>
      <c r="D181" s="1111"/>
      <c r="E181" s="1130"/>
      <c r="F181" s="1179"/>
      <c r="G181" s="1130"/>
      <c r="H181" s="1128"/>
      <c r="I181" s="1130"/>
      <c r="J181" s="1120"/>
      <c r="K181" s="1111"/>
      <c r="L181" s="1323"/>
    </row>
    <row r="182" spans="1:12" ht="25.5" customHeight="1" x14ac:dyDescent="0.25">
      <c r="A182" s="1130"/>
      <c r="B182" s="1198"/>
      <c r="C182" s="1111"/>
      <c r="D182" s="1111"/>
      <c r="E182" s="1130"/>
      <c r="F182" s="1179"/>
      <c r="G182" s="1130"/>
      <c r="H182" s="1128"/>
      <c r="I182" s="1130"/>
      <c r="J182" s="1120"/>
      <c r="K182" s="1111"/>
      <c r="L182" s="1323"/>
    </row>
    <row r="183" spans="1:12" ht="25.5" customHeight="1" x14ac:dyDescent="0.25">
      <c r="A183" s="1130"/>
      <c r="B183" s="1198"/>
      <c r="C183" s="1111"/>
      <c r="D183" s="1111"/>
      <c r="E183" s="1130"/>
      <c r="F183" s="1179"/>
      <c r="G183" s="1130"/>
      <c r="H183" s="1128"/>
      <c r="I183" s="1130"/>
      <c r="J183" s="1120"/>
      <c r="K183" s="1111"/>
      <c r="L183" s="1323"/>
    </row>
    <row r="184" spans="1:12" ht="25.5" customHeight="1" x14ac:dyDescent="0.25">
      <c r="A184" s="1130"/>
      <c r="B184" s="1198"/>
      <c r="C184" s="1111"/>
      <c r="D184" s="1111"/>
      <c r="E184" s="1130"/>
      <c r="F184" s="1179"/>
      <c r="G184" s="1130"/>
      <c r="H184" s="1128"/>
      <c r="I184" s="1130"/>
      <c r="J184" s="1120"/>
      <c r="K184" s="1111"/>
      <c r="L184" s="1323"/>
    </row>
    <row r="185" spans="1:12" ht="25.5" customHeight="1" thickBot="1" x14ac:dyDescent="0.3">
      <c r="A185" s="1130"/>
      <c r="B185" s="1199"/>
      <c r="C185" s="1042"/>
      <c r="D185" s="1042"/>
      <c r="E185" s="1131"/>
      <c r="F185" s="1180"/>
      <c r="G185" s="1131"/>
      <c r="H185" s="1113"/>
      <c r="I185" s="1131"/>
      <c r="J185" s="1116"/>
      <c r="K185" s="1042"/>
      <c r="L185" s="1324"/>
    </row>
    <row r="186" spans="1:12" ht="25.5" x14ac:dyDescent="0.25">
      <c r="A186" s="1130"/>
      <c r="B186" s="1135" t="s">
        <v>640</v>
      </c>
      <c r="C186" s="1041" t="s">
        <v>180</v>
      </c>
      <c r="D186" s="734" t="s">
        <v>225</v>
      </c>
      <c r="E186" s="349">
        <f>E187+E188</f>
        <v>134267986.58000001</v>
      </c>
      <c r="F186" s="341">
        <f>F187+F188</f>
        <v>86953723.900000006</v>
      </c>
      <c r="G186" s="1041" t="s">
        <v>426</v>
      </c>
      <c r="H186" s="654" t="s">
        <v>495</v>
      </c>
      <c r="I186" s="919" t="s">
        <v>355</v>
      </c>
      <c r="J186" s="952">
        <f>J187+J188+J189+J190+J191</f>
        <v>641898</v>
      </c>
      <c r="K186" s="956">
        <f>K187+K188+K189+K190+K191</f>
        <v>480862</v>
      </c>
      <c r="L186" s="981">
        <f>L187+L188</f>
        <v>134267986.58000001</v>
      </c>
    </row>
    <row r="187" spans="1:12" ht="25.5" x14ac:dyDescent="0.25">
      <c r="A187" s="1130"/>
      <c r="B187" s="1136"/>
      <c r="C187" s="1111"/>
      <c r="D187" s="934" t="s">
        <v>283</v>
      </c>
      <c r="E187" s="806">
        <v>134267986.58000001</v>
      </c>
      <c r="F187" s="807">
        <v>86953723.900000006</v>
      </c>
      <c r="G187" s="1111"/>
      <c r="H187" s="728" t="s">
        <v>496</v>
      </c>
      <c r="I187" s="920" t="s">
        <v>355</v>
      </c>
      <c r="J187" s="942">
        <v>249595</v>
      </c>
      <c r="K187" s="957">
        <v>191512</v>
      </c>
      <c r="L187" s="808">
        <v>134267986.58000001</v>
      </c>
    </row>
    <row r="188" spans="1:12" ht="26.25" thickBot="1" x14ac:dyDescent="0.3">
      <c r="A188" s="1130"/>
      <c r="B188" s="1136"/>
      <c r="C188" s="1111"/>
      <c r="D188" s="730" t="s">
        <v>282</v>
      </c>
      <c r="E188" s="809">
        <v>0</v>
      </c>
      <c r="F188" s="810">
        <v>0</v>
      </c>
      <c r="G188" s="1111"/>
      <c r="H188" s="728" t="s">
        <v>497</v>
      </c>
      <c r="I188" s="920" t="s">
        <v>355</v>
      </c>
      <c r="J188" s="942">
        <v>190981</v>
      </c>
      <c r="K188" s="957">
        <v>140931</v>
      </c>
      <c r="L188" s="463">
        <v>0</v>
      </c>
    </row>
    <row r="189" spans="1:12" ht="25.5" x14ac:dyDescent="0.25">
      <c r="A189" s="1130"/>
      <c r="B189" s="1136"/>
      <c r="C189" s="1111"/>
      <c r="D189" s="1111"/>
      <c r="E189" s="1331"/>
      <c r="F189" s="1306"/>
      <c r="G189" s="1111"/>
      <c r="H189" s="728" t="s">
        <v>498</v>
      </c>
      <c r="I189" s="920" t="s">
        <v>355</v>
      </c>
      <c r="J189" s="942">
        <v>101400</v>
      </c>
      <c r="K189" s="957">
        <v>76050</v>
      </c>
      <c r="L189" s="1383"/>
    </row>
    <row r="190" spans="1:12" ht="25.5" x14ac:dyDescent="0.25">
      <c r="A190" s="1130"/>
      <c r="B190" s="1136"/>
      <c r="C190" s="1111"/>
      <c r="D190" s="1111"/>
      <c r="E190" s="1304"/>
      <c r="F190" s="1306"/>
      <c r="G190" s="1111"/>
      <c r="H190" s="728" t="s">
        <v>499</v>
      </c>
      <c r="I190" s="920" t="s">
        <v>355</v>
      </c>
      <c r="J190" s="942">
        <v>98955</v>
      </c>
      <c r="K190" s="957">
        <v>71609</v>
      </c>
      <c r="L190" s="1323"/>
    </row>
    <row r="191" spans="1:12" ht="25.5" x14ac:dyDescent="0.25">
      <c r="A191" s="1130"/>
      <c r="B191" s="1136"/>
      <c r="C191" s="1111"/>
      <c r="D191" s="1111"/>
      <c r="E191" s="1304"/>
      <c r="F191" s="1306"/>
      <c r="G191" s="1111"/>
      <c r="H191" s="728" t="s">
        <v>500</v>
      </c>
      <c r="I191" s="920" t="s">
        <v>355</v>
      </c>
      <c r="J191" s="942">
        <v>967</v>
      </c>
      <c r="K191" s="957">
        <v>760</v>
      </c>
      <c r="L191" s="1323"/>
    </row>
    <row r="192" spans="1:12" ht="40.5" customHeight="1" x14ac:dyDescent="0.25">
      <c r="A192" s="1130"/>
      <c r="B192" s="1136"/>
      <c r="C192" s="1111"/>
      <c r="D192" s="1111"/>
      <c r="E192" s="1304"/>
      <c r="F192" s="1306"/>
      <c r="G192" s="1111"/>
      <c r="H192" s="728" t="s">
        <v>489</v>
      </c>
      <c r="I192" s="920" t="s">
        <v>355</v>
      </c>
      <c r="J192" s="942">
        <f>SUM(J193:J197)</f>
        <v>233610</v>
      </c>
      <c r="K192" s="957">
        <f>SUM(K193:K197)</f>
        <v>185237</v>
      </c>
      <c r="L192" s="1323"/>
    </row>
    <row r="193" spans="1:12" ht="38.25" x14ac:dyDescent="0.25">
      <c r="A193" s="1130"/>
      <c r="B193" s="1136"/>
      <c r="C193" s="1111"/>
      <c r="D193" s="1111"/>
      <c r="E193" s="1304"/>
      <c r="F193" s="1306"/>
      <c r="G193" s="1111"/>
      <c r="H193" s="728" t="s">
        <v>490</v>
      </c>
      <c r="I193" s="920" t="s">
        <v>355</v>
      </c>
      <c r="J193" s="942">
        <v>70000</v>
      </c>
      <c r="K193" s="957">
        <v>63079</v>
      </c>
      <c r="L193" s="1323"/>
    </row>
    <row r="194" spans="1:12" ht="38.25" x14ac:dyDescent="0.25">
      <c r="A194" s="1130"/>
      <c r="B194" s="1136"/>
      <c r="C194" s="1111"/>
      <c r="D194" s="1111"/>
      <c r="E194" s="1304"/>
      <c r="F194" s="1306"/>
      <c r="G194" s="1111"/>
      <c r="H194" s="728" t="s">
        <v>491</v>
      </c>
      <c r="I194" s="920" t="s">
        <v>355</v>
      </c>
      <c r="J194" s="942">
        <v>82107</v>
      </c>
      <c r="K194" s="957">
        <v>61032</v>
      </c>
      <c r="L194" s="1323"/>
    </row>
    <row r="195" spans="1:12" ht="38.25" x14ac:dyDescent="0.25">
      <c r="A195" s="1130"/>
      <c r="B195" s="1136"/>
      <c r="C195" s="1111"/>
      <c r="D195" s="1111"/>
      <c r="E195" s="1304"/>
      <c r="F195" s="1306"/>
      <c r="G195" s="1111"/>
      <c r="H195" s="728" t="s">
        <v>492</v>
      </c>
      <c r="I195" s="920" t="s">
        <v>355</v>
      </c>
      <c r="J195" s="942">
        <v>53000</v>
      </c>
      <c r="K195" s="957">
        <v>39750</v>
      </c>
      <c r="L195" s="1323"/>
    </row>
    <row r="196" spans="1:12" ht="51" x14ac:dyDescent="0.25">
      <c r="A196" s="1130"/>
      <c r="B196" s="1136"/>
      <c r="C196" s="1111"/>
      <c r="D196" s="1111"/>
      <c r="E196" s="1304"/>
      <c r="F196" s="1306"/>
      <c r="G196" s="1111"/>
      <c r="H196" s="728" t="s">
        <v>493</v>
      </c>
      <c r="I196" s="920" t="s">
        <v>355</v>
      </c>
      <c r="J196" s="942">
        <v>27536</v>
      </c>
      <c r="K196" s="957">
        <v>20616</v>
      </c>
      <c r="L196" s="1323"/>
    </row>
    <row r="197" spans="1:12" ht="51" x14ac:dyDescent="0.25">
      <c r="A197" s="1130"/>
      <c r="B197" s="1136"/>
      <c r="C197" s="1111"/>
      <c r="D197" s="1111"/>
      <c r="E197" s="1304"/>
      <c r="F197" s="1306"/>
      <c r="G197" s="1111"/>
      <c r="H197" s="728" t="s">
        <v>494</v>
      </c>
      <c r="I197" s="920" t="s">
        <v>355</v>
      </c>
      <c r="J197" s="942">
        <v>967</v>
      </c>
      <c r="K197" s="957">
        <v>760</v>
      </c>
      <c r="L197" s="1323"/>
    </row>
    <row r="198" spans="1:12" ht="38.25" x14ac:dyDescent="0.25">
      <c r="A198" s="1130"/>
      <c r="B198" s="1136"/>
      <c r="C198" s="1111"/>
      <c r="D198" s="1111"/>
      <c r="E198" s="1304"/>
      <c r="F198" s="1306"/>
      <c r="G198" s="1111"/>
      <c r="H198" s="728" t="s">
        <v>501</v>
      </c>
      <c r="I198" s="920" t="s">
        <v>355</v>
      </c>
      <c r="J198" s="942">
        <f>SUM(J199:J202)</f>
        <v>408288</v>
      </c>
      <c r="K198" s="957">
        <f>SUM(K199:K202)</f>
        <v>296686</v>
      </c>
      <c r="L198" s="1323"/>
    </row>
    <row r="199" spans="1:12" ht="38.25" x14ac:dyDescent="0.25">
      <c r="A199" s="1130"/>
      <c r="B199" s="1136"/>
      <c r="C199" s="1111"/>
      <c r="D199" s="1111"/>
      <c r="E199" s="1304"/>
      <c r="F199" s="1306"/>
      <c r="G199" s="1111"/>
      <c r="H199" s="728" t="s">
        <v>502</v>
      </c>
      <c r="I199" s="920" t="s">
        <v>355</v>
      </c>
      <c r="J199" s="942">
        <v>179595</v>
      </c>
      <c r="K199" s="957">
        <v>128433</v>
      </c>
      <c r="L199" s="1323"/>
    </row>
    <row r="200" spans="1:12" ht="38.25" x14ac:dyDescent="0.25">
      <c r="A200" s="1130"/>
      <c r="B200" s="1136"/>
      <c r="C200" s="1111"/>
      <c r="D200" s="1111"/>
      <c r="E200" s="1304"/>
      <c r="F200" s="1306"/>
      <c r="G200" s="1111"/>
      <c r="H200" s="728" t="s">
        <v>503</v>
      </c>
      <c r="I200" s="920" t="s">
        <v>355</v>
      </c>
      <c r="J200" s="942">
        <v>108874</v>
      </c>
      <c r="K200" s="957">
        <v>80960</v>
      </c>
      <c r="L200" s="1323"/>
    </row>
    <row r="201" spans="1:12" ht="38.25" x14ac:dyDescent="0.25">
      <c r="A201" s="1130"/>
      <c r="B201" s="1136"/>
      <c r="C201" s="1111"/>
      <c r="D201" s="1111"/>
      <c r="E201" s="1304"/>
      <c r="F201" s="1306"/>
      <c r="G201" s="1111"/>
      <c r="H201" s="728" t="s">
        <v>504</v>
      </c>
      <c r="I201" s="920" t="s">
        <v>355</v>
      </c>
      <c r="J201" s="942">
        <v>48400</v>
      </c>
      <c r="K201" s="957">
        <v>36300</v>
      </c>
      <c r="L201" s="1323"/>
    </row>
    <row r="202" spans="1:12" ht="38.25" x14ac:dyDescent="0.25">
      <c r="A202" s="1130"/>
      <c r="B202" s="1136"/>
      <c r="C202" s="1111"/>
      <c r="D202" s="1111"/>
      <c r="E202" s="1304"/>
      <c r="F202" s="1306"/>
      <c r="G202" s="1111"/>
      <c r="H202" s="728" t="s">
        <v>505</v>
      </c>
      <c r="I202" s="920" t="s">
        <v>355</v>
      </c>
      <c r="J202" s="942">
        <v>71419</v>
      </c>
      <c r="K202" s="957">
        <v>50993</v>
      </c>
      <c r="L202" s="1323"/>
    </row>
    <row r="203" spans="1:12" ht="38.25" x14ac:dyDescent="0.25">
      <c r="A203" s="1130"/>
      <c r="B203" s="1136"/>
      <c r="C203" s="1111"/>
      <c r="D203" s="1111"/>
      <c r="E203" s="1304"/>
      <c r="F203" s="1306"/>
      <c r="G203" s="1111"/>
      <c r="H203" s="728" t="s">
        <v>506</v>
      </c>
      <c r="I203" s="920" t="s">
        <v>355</v>
      </c>
      <c r="J203" s="942">
        <f>SUM(J204:J207)</f>
        <v>145858</v>
      </c>
      <c r="K203" s="957">
        <f>SUM(K204:K207)</f>
        <v>105328</v>
      </c>
      <c r="L203" s="1323"/>
    </row>
    <row r="204" spans="1:12" ht="38.25" x14ac:dyDescent="0.25">
      <c r="A204" s="1130"/>
      <c r="B204" s="1136"/>
      <c r="C204" s="1111"/>
      <c r="D204" s="1111"/>
      <c r="E204" s="1304"/>
      <c r="F204" s="1306"/>
      <c r="G204" s="1111"/>
      <c r="H204" s="728" t="s">
        <v>507</v>
      </c>
      <c r="I204" s="920" t="s">
        <v>355</v>
      </c>
      <c r="J204" s="942">
        <v>85521</v>
      </c>
      <c r="K204" s="957">
        <v>61156</v>
      </c>
      <c r="L204" s="1323"/>
    </row>
    <row r="205" spans="1:12" ht="38.25" x14ac:dyDescent="0.25">
      <c r="A205" s="1130"/>
      <c r="B205" s="1136"/>
      <c r="C205" s="1111"/>
      <c r="D205" s="1111"/>
      <c r="E205" s="1304"/>
      <c r="F205" s="1306"/>
      <c r="G205" s="1111"/>
      <c r="H205" s="728" t="s">
        <v>508</v>
      </c>
      <c r="I205" s="920" t="s">
        <v>355</v>
      </c>
      <c r="J205" s="942">
        <v>10887</v>
      </c>
      <c r="K205" s="957">
        <v>8096</v>
      </c>
      <c r="L205" s="1323"/>
    </row>
    <row r="206" spans="1:12" ht="38.25" x14ac:dyDescent="0.25">
      <c r="A206" s="1130"/>
      <c r="B206" s="1136"/>
      <c r="C206" s="1111"/>
      <c r="D206" s="1111"/>
      <c r="E206" s="1304"/>
      <c r="F206" s="1306"/>
      <c r="G206" s="1111"/>
      <c r="H206" s="728" t="s">
        <v>509</v>
      </c>
      <c r="I206" s="920" t="s">
        <v>355</v>
      </c>
      <c r="J206" s="942">
        <v>23000</v>
      </c>
      <c r="K206" s="957">
        <v>17252</v>
      </c>
      <c r="L206" s="1323"/>
    </row>
    <row r="207" spans="1:12" ht="38.25" x14ac:dyDescent="0.25">
      <c r="A207" s="1130"/>
      <c r="B207" s="1136"/>
      <c r="C207" s="1111"/>
      <c r="D207" s="1111"/>
      <c r="E207" s="1304"/>
      <c r="F207" s="1306"/>
      <c r="G207" s="1111"/>
      <c r="H207" s="728" t="s">
        <v>510</v>
      </c>
      <c r="I207" s="920" t="s">
        <v>355</v>
      </c>
      <c r="J207" s="942">
        <v>26450</v>
      </c>
      <c r="K207" s="957">
        <v>18824</v>
      </c>
      <c r="L207" s="1323"/>
    </row>
    <row r="208" spans="1:12" ht="69.75" customHeight="1" x14ac:dyDescent="0.25">
      <c r="A208" s="1130"/>
      <c r="B208" s="1136"/>
      <c r="C208" s="1111"/>
      <c r="D208" s="1111"/>
      <c r="E208" s="1304"/>
      <c r="F208" s="1306"/>
      <c r="G208" s="1111"/>
      <c r="H208" s="728" t="s">
        <v>427</v>
      </c>
      <c r="I208" s="920" t="s">
        <v>353</v>
      </c>
      <c r="J208" s="942">
        <v>100</v>
      </c>
      <c r="K208" s="957">
        <v>100</v>
      </c>
      <c r="L208" s="1323"/>
    </row>
    <row r="209" spans="1:12" ht="45" customHeight="1" thickBot="1" x14ac:dyDescent="0.3">
      <c r="A209" s="1130"/>
      <c r="B209" s="1137"/>
      <c r="C209" s="1042"/>
      <c r="D209" s="1042"/>
      <c r="E209" s="1305"/>
      <c r="F209" s="1307"/>
      <c r="G209" s="1042"/>
      <c r="H209" s="151" t="s">
        <v>354</v>
      </c>
      <c r="I209" s="921" t="s">
        <v>353</v>
      </c>
      <c r="J209" s="959">
        <v>53</v>
      </c>
      <c r="K209" s="958">
        <v>53</v>
      </c>
      <c r="L209" s="1324"/>
    </row>
    <row r="210" spans="1:12" ht="25.5" hidden="1" customHeight="1" x14ac:dyDescent="0.25">
      <c r="A210" s="1130"/>
      <c r="B210" s="1136" t="s">
        <v>639</v>
      </c>
      <c r="C210" s="1041" t="s">
        <v>180</v>
      </c>
      <c r="D210" s="946" t="s">
        <v>225</v>
      </c>
      <c r="E210" s="846">
        <f>E211+E212</f>
        <v>0</v>
      </c>
      <c r="F210" s="341">
        <f>F211+F212</f>
        <v>0</v>
      </c>
      <c r="G210" s="1041" t="s">
        <v>426</v>
      </c>
      <c r="H210" s="1127" t="s">
        <v>621</v>
      </c>
      <c r="I210" s="1129" t="s">
        <v>353</v>
      </c>
      <c r="J210" s="1119">
        <v>0</v>
      </c>
      <c r="K210" s="1121">
        <v>0</v>
      </c>
      <c r="L210" s="979">
        <f>L211+L212</f>
        <v>0</v>
      </c>
    </row>
    <row r="211" spans="1:12" ht="24.75" hidden="1" customHeight="1" x14ac:dyDescent="0.25">
      <c r="A211" s="1130"/>
      <c r="B211" s="1136"/>
      <c r="C211" s="1111"/>
      <c r="D211" s="934" t="s">
        <v>283</v>
      </c>
      <c r="E211" s="806">
        <v>0</v>
      </c>
      <c r="F211" s="807">
        <v>0</v>
      </c>
      <c r="G211" s="1111"/>
      <c r="H211" s="1128"/>
      <c r="I211" s="1130"/>
      <c r="J211" s="1120"/>
      <c r="K211" s="1122"/>
      <c r="L211" s="808">
        <v>0</v>
      </c>
    </row>
    <row r="212" spans="1:12" ht="25.5" hidden="1" customHeight="1" thickBot="1" x14ac:dyDescent="0.3">
      <c r="A212" s="1130"/>
      <c r="B212" s="1137"/>
      <c r="C212" s="1042"/>
      <c r="D212" s="730" t="s">
        <v>282</v>
      </c>
      <c r="E212" s="809">
        <v>0</v>
      </c>
      <c r="F212" s="810">
        <v>0</v>
      </c>
      <c r="G212" s="1042"/>
      <c r="H212" s="1113"/>
      <c r="I212" s="1131"/>
      <c r="J212" s="1116"/>
      <c r="K212" s="1123"/>
      <c r="L212" s="982">
        <v>0</v>
      </c>
    </row>
    <row r="213" spans="1:12" ht="25.5" customHeight="1" x14ac:dyDescent="0.25">
      <c r="A213" s="1130"/>
      <c r="B213" s="1136" t="s">
        <v>638</v>
      </c>
      <c r="C213" s="1041" t="s">
        <v>180</v>
      </c>
      <c r="D213" s="946" t="s">
        <v>225</v>
      </c>
      <c r="E213" s="846">
        <f>E214+E215</f>
        <v>23456531.5</v>
      </c>
      <c r="F213" s="341">
        <f>F214+F215</f>
        <v>0</v>
      </c>
      <c r="G213" s="1041" t="s">
        <v>426</v>
      </c>
      <c r="H213" s="1127" t="s">
        <v>621</v>
      </c>
      <c r="I213" s="1129" t="s">
        <v>353</v>
      </c>
      <c r="J213" s="1119">
        <v>90</v>
      </c>
      <c r="K213" s="1121">
        <v>0</v>
      </c>
      <c r="L213" s="979">
        <f>L214+L215</f>
        <v>23456531.5</v>
      </c>
    </row>
    <row r="214" spans="1:12" ht="24.75" customHeight="1" x14ac:dyDescent="0.25">
      <c r="A214" s="1130"/>
      <c r="B214" s="1136"/>
      <c r="C214" s="1111"/>
      <c r="D214" s="934" t="s">
        <v>283</v>
      </c>
      <c r="E214" s="806">
        <v>23456531.5</v>
      </c>
      <c r="F214" s="807">
        <v>0</v>
      </c>
      <c r="G214" s="1111"/>
      <c r="H214" s="1128"/>
      <c r="I214" s="1130"/>
      <c r="J214" s="1120"/>
      <c r="K214" s="1122"/>
      <c r="L214" s="808">
        <v>23456531.5</v>
      </c>
    </row>
    <row r="215" spans="1:12" ht="25.5" customHeight="1" thickBot="1" x14ac:dyDescent="0.3">
      <c r="A215" s="1130"/>
      <c r="B215" s="1137"/>
      <c r="C215" s="1042"/>
      <c r="D215" s="730" t="s">
        <v>282</v>
      </c>
      <c r="E215" s="809">
        <v>0</v>
      </c>
      <c r="F215" s="810">
        <v>0</v>
      </c>
      <c r="G215" s="1042"/>
      <c r="H215" s="1113"/>
      <c r="I215" s="1131"/>
      <c r="J215" s="1116"/>
      <c r="K215" s="1123"/>
      <c r="L215" s="982">
        <v>0</v>
      </c>
    </row>
    <row r="216" spans="1:12" x14ac:dyDescent="0.25">
      <c r="A216" s="1130"/>
      <c r="B216" s="1188" t="s">
        <v>637</v>
      </c>
      <c r="C216" s="1041"/>
      <c r="D216" s="734" t="s">
        <v>225</v>
      </c>
      <c r="E216" s="371">
        <f>E217+E218</f>
        <v>24736455</v>
      </c>
      <c r="F216" s="371">
        <f>F217+F218</f>
        <v>14468259.5</v>
      </c>
      <c r="G216" s="1041"/>
      <c r="H216" s="1041"/>
      <c r="I216" s="1322"/>
      <c r="J216" s="1119"/>
      <c r="K216" s="1041"/>
      <c r="L216" s="981">
        <f>L217+L218</f>
        <v>24736455</v>
      </c>
    </row>
    <row r="217" spans="1:12" x14ac:dyDescent="0.25">
      <c r="A217" s="1130"/>
      <c r="B217" s="1189"/>
      <c r="C217" s="1111"/>
      <c r="D217" s="934" t="s">
        <v>283</v>
      </c>
      <c r="E217" s="799">
        <f>E220</f>
        <v>24736455</v>
      </c>
      <c r="F217" s="799">
        <f>F220</f>
        <v>14468259.5</v>
      </c>
      <c r="G217" s="1111"/>
      <c r="H217" s="1111"/>
      <c r="I217" s="1323"/>
      <c r="J217" s="1120"/>
      <c r="K217" s="1111"/>
      <c r="L217" s="463">
        <f>L220</f>
        <v>24736455</v>
      </c>
    </row>
    <row r="218" spans="1:12" ht="15.75" thickBot="1" x14ac:dyDescent="0.3">
      <c r="A218" s="1130"/>
      <c r="B218" s="1190"/>
      <c r="C218" s="1042"/>
      <c r="D218" s="730" t="s">
        <v>282</v>
      </c>
      <c r="E218" s="802">
        <f>E221</f>
        <v>0</v>
      </c>
      <c r="F218" s="802">
        <f>F221</f>
        <v>0</v>
      </c>
      <c r="G218" s="1042"/>
      <c r="H218" s="1042"/>
      <c r="I218" s="1324"/>
      <c r="J218" s="1116"/>
      <c r="K218" s="1042"/>
      <c r="L218" s="880">
        <f>L221</f>
        <v>0</v>
      </c>
    </row>
    <row r="219" spans="1:12" ht="57.75" customHeight="1" x14ac:dyDescent="0.25">
      <c r="A219" s="1130"/>
      <c r="B219" s="1136" t="s">
        <v>641</v>
      </c>
      <c r="C219" s="1041" t="s">
        <v>180</v>
      </c>
      <c r="D219" s="946" t="s">
        <v>225</v>
      </c>
      <c r="E219" s="846">
        <f>E220+E221</f>
        <v>24736455</v>
      </c>
      <c r="F219" s="847">
        <f>F220+F221</f>
        <v>14468259.5</v>
      </c>
      <c r="G219" s="1041" t="s">
        <v>426</v>
      </c>
      <c r="H219" s="1127" t="s">
        <v>622</v>
      </c>
      <c r="I219" s="1129" t="s">
        <v>356</v>
      </c>
      <c r="J219" s="1119">
        <v>52997</v>
      </c>
      <c r="K219" s="1121">
        <v>18425</v>
      </c>
      <c r="L219" s="990">
        <f>L220+L221</f>
        <v>24736455</v>
      </c>
    </row>
    <row r="220" spans="1:12" ht="57.75" customHeight="1" x14ac:dyDescent="0.25">
      <c r="A220" s="1130"/>
      <c r="B220" s="1136"/>
      <c r="C220" s="1111"/>
      <c r="D220" s="934" t="s">
        <v>283</v>
      </c>
      <c r="E220" s="799">
        <v>24736455</v>
      </c>
      <c r="F220" s="807">
        <v>14468259.5</v>
      </c>
      <c r="G220" s="1111"/>
      <c r="H220" s="1128"/>
      <c r="I220" s="1130"/>
      <c r="J220" s="1120"/>
      <c r="K220" s="1122"/>
      <c r="L220" s="808">
        <v>24736455</v>
      </c>
    </row>
    <row r="221" spans="1:12" ht="67.5" customHeight="1" thickBot="1" x14ac:dyDescent="0.3">
      <c r="A221" s="1130"/>
      <c r="B221" s="1136"/>
      <c r="C221" s="1042"/>
      <c r="D221" s="926" t="s">
        <v>282</v>
      </c>
      <c r="E221" s="960">
        <f>0</f>
        <v>0</v>
      </c>
      <c r="F221" s="704">
        <v>0</v>
      </c>
      <c r="G221" s="1042"/>
      <c r="H221" s="1113"/>
      <c r="I221" s="1131"/>
      <c r="J221" s="1116"/>
      <c r="K221" s="1123"/>
      <c r="L221" s="991">
        <v>0</v>
      </c>
    </row>
    <row r="222" spans="1:12" ht="18" customHeight="1" x14ac:dyDescent="0.25">
      <c r="A222" s="1130"/>
      <c r="B222" s="1188" t="s">
        <v>642</v>
      </c>
      <c r="C222" s="1041"/>
      <c r="D222" s="734" t="s">
        <v>225</v>
      </c>
      <c r="E222" s="371">
        <f>E223+E224</f>
        <v>212448600</v>
      </c>
      <c r="F222" s="371">
        <f>F223+F224</f>
        <v>175229649.14999998</v>
      </c>
      <c r="G222" s="1041"/>
      <c r="H222" s="1041"/>
      <c r="I222" s="1129"/>
      <c r="J222" s="1119"/>
      <c r="K222" s="1041"/>
      <c r="L222" s="981">
        <f>L223+L224</f>
        <v>212448600</v>
      </c>
    </row>
    <row r="223" spans="1:12" ht="18" customHeight="1" x14ac:dyDescent="0.25">
      <c r="A223" s="1130"/>
      <c r="B223" s="1189"/>
      <c r="C223" s="1111"/>
      <c r="D223" s="934" t="s">
        <v>283</v>
      </c>
      <c r="E223" s="799">
        <f>E226+E229+E232+E235+E238</f>
        <v>0</v>
      </c>
      <c r="F223" s="799">
        <f>F226+F229+F232+F235+F238</f>
        <v>0</v>
      </c>
      <c r="G223" s="1111"/>
      <c r="H223" s="1111"/>
      <c r="I223" s="1130"/>
      <c r="J223" s="1120"/>
      <c r="K223" s="1111"/>
      <c r="L223" s="463">
        <f>L226+L229+L232+L235+L238</f>
        <v>148545600</v>
      </c>
    </row>
    <row r="224" spans="1:12" ht="18" customHeight="1" thickBot="1" x14ac:dyDescent="0.3">
      <c r="A224" s="1130"/>
      <c r="B224" s="1190"/>
      <c r="C224" s="1042"/>
      <c r="D224" s="730" t="s">
        <v>282</v>
      </c>
      <c r="E224" s="802">
        <f>E227+E230+E233+E236+E239</f>
        <v>212448600</v>
      </c>
      <c r="F224" s="802">
        <f>F227+F230+F233+F236+F239</f>
        <v>175229649.14999998</v>
      </c>
      <c r="G224" s="1042"/>
      <c r="H224" s="1042"/>
      <c r="I224" s="1131"/>
      <c r="J224" s="1116"/>
      <c r="K224" s="1042"/>
      <c r="L224" s="983">
        <f>L227+L230+L233+L236+L239</f>
        <v>63903000</v>
      </c>
    </row>
    <row r="225" spans="1:12" ht="95.25" hidden="1" customHeight="1" x14ac:dyDescent="0.25">
      <c r="A225" s="1130"/>
      <c r="B225" s="1135" t="s">
        <v>643</v>
      </c>
      <c r="C225" s="1041" t="s">
        <v>180</v>
      </c>
      <c r="D225" s="734" t="s">
        <v>225</v>
      </c>
      <c r="E225" s="349">
        <f>E226+E227</f>
        <v>0</v>
      </c>
      <c r="F225" s="341">
        <f>F226+F227</f>
        <v>0</v>
      </c>
      <c r="G225" s="1041" t="s">
        <v>426</v>
      </c>
      <c r="H225" s="1127" t="s">
        <v>623</v>
      </c>
      <c r="I225" s="1129" t="s">
        <v>357</v>
      </c>
      <c r="J225" s="1119">
        <v>0</v>
      </c>
      <c r="K225" s="1121">
        <v>0</v>
      </c>
      <c r="L225" s="979">
        <f>L226+L227</f>
        <v>0</v>
      </c>
    </row>
    <row r="226" spans="1:12" ht="95.25" hidden="1" customHeight="1" x14ac:dyDescent="0.25">
      <c r="A226" s="1130"/>
      <c r="B226" s="1136"/>
      <c r="C226" s="1111"/>
      <c r="D226" s="934" t="s">
        <v>283</v>
      </c>
      <c r="E226" s="799">
        <f>0</f>
        <v>0</v>
      </c>
      <c r="F226" s="807">
        <v>0</v>
      </c>
      <c r="G226" s="1111"/>
      <c r="H226" s="1128"/>
      <c r="I226" s="1130"/>
      <c r="J226" s="1120"/>
      <c r="K226" s="1122"/>
      <c r="L226" s="808">
        <v>0</v>
      </c>
    </row>
    <row r="227" spans="1:12" ht="95.25" hidden="1" customHeight="1" thickBot="1" x14ac:dyDescent="0.3">
      <c r="A227" s="1130"/>
      <c r="B227" s="1137"/>
      <c r="C227" s="1042"/>
      <c r="D227" s="730" t="s">
        <v>282</v>
      </c>
      <c r="E227" s="802">
        <v>0</v>
      </c>
      <c r="F227" s="810">
        <v>0</v>
      </c>
      <c r="G227" s="1042"/>
      <c r="H227" s="1113"/>
      <c r="I227" s="1131"/>
      <c r="J227" s="1116"/>
      <c r="K227" s="1123"/>
      <c r="L227" s="982">
        <v>0</v>
      </c>
    </row>
    <row r="228" spans="1:12" ht="95.25" customHeight="1" x14ac:dyDescent="0.25">
      <c r="A228" s="1130"/>
      <c r="B228" s="1135" t="s">
        <v>644</v>
      </c>
      <c r="C228" s="1041" t="s">
        <v>180</v>
      </c>
      <c r="D228" s="734" t="s">
        <v>225</v>
      </c>
      <c r="E228" s="1024">
        <f>E229+E230</f>
        <v>60992500</v>
      </c>
      <c r="F228" s="341">
        <f>F229+F230</f>
        <v>57010831.039999999</v>
      </c>
      <c r="G228" s="1041" t="s">
        <v>426</v>
      </c>
      <c r="H228" s="1127" t="s">
        <v>624</v>
      </c>
      <c r="I228" s="1129" t="s">
        <v>357</v>
      </c>
      <c r="J228" s="1119" t="s">
        <v>625</v>
      </c>
      <c r="K228" s="1121">
        <v>10625</v>
      </c>
      <c r="L228" s="979">
        <f>L229+L230</f>
        <v>60992500</v>
      </c>
    </row>
    <row r="229" spans="1:12" ht="95.25" customHeight="1" x14ac:dyDescent="0.25">
      <c r="A229" s="1130"/>
      <c r="B229" s="1136"/>
      <c r="C229" s="1111"/>
      <c r="D229" s="934" t="s">
        <v>283</v>
      </c>
      <c r="E229" s="799">
        <f>0</f>
        <v>0</v>
      </c>
      <c r="F229" s="807">
        <v>0</v>
      </c>
      <c r="G229" s="1111"/>
      <c r="H229" s="1128"/>
      <c r="I229" s="1130"/>
      <c r="J229" s="1120"/>
      <c r="K229" s="1122"/>
      <c r="L229" s="808">
        <v>0</v>
      </c>
    </row>
    <row r="230" spans="1:12" ht="95.25" customHeight="1" thickBot="1" x14ac:dyDescent="0.3">
      <c r="A230" s="1130"/>
      <c r="B230" s="1137"/>
      <c r="C230" s="1042"/>
      <c r="D230" s="730" t="s">
        <v>282</v>
      </c>
      <c r="E230" s="802">
        <v>60992500</v>
      </c>
      <c r="F230" s="810">
        <v>57010831.039999999</v>
      </c>
      <c r="G230" s="1042"/>
      <c r="H230" s="1113"/>
      <c r="I230" s="1131"/>
      <c r="J230" s="1116"/>
      <c r="K230" s="1123"/>
      <c r="L230" s="982">
        <v>60992500</v>
      </c>
    </row>
    <row r="231" spans="1:12" ht="95.25" customHeight="1" x14ac:dyDescent="0.25">
      <c r="A231" s="914"/>
      <c r="B231" s="1135" t="s">
        <v>645</v>
      </c>
      <c r="C231" s="1041" t="s">
        <v>180</v>
      </c>
      <c r="D231" s="734" t="s">
        <v>225</v>
      </c>
      <c r="E231" s="1024">
        <f>E232+E233</f>
        <v>148545600</v>
      </c>
      <c r="F231" s="341">
        <f>F232+F233</f>
        <v>116454662.69</v>
      </c>
      <c r="G231" s="1041" t="s">
        <v>426</v>
      </c>
      <c r="H231" s="1127" t="s">
        <v>624</v>
      </c>
      <c r="I231" s="1129" t="s">
        <v>357</v>
      </c>
      <c r="J231" s="1119">
        <v>0</v>
      </c>
      <c r="K231" s="1121">
        <v>0</v>
      </c>
      <c r="L231" s="979">
        <f>L232+L233</f>
        <v>148545600</v>
      </c>
    </row>
    <row r="232" spans="1:12" ht="95.25" customHeight="1" x14ac:dyDescent="0.25">
      <c r="A232" s="914"/>
      <c r="B232" s="1136"/>
      <c r="C232" s="1111"/>
      <c r="D232" s="934" t="s">
        <v>283</v>
      </c>
      <c r="E232" s="799">
        <v>0</v>
      </c>
      <c r="F232" s="807">
        <v>0</v>
      </c>
      <c r="G232" s="1111"/>
      <c r="H232" s="1128"/>
      <c r="I232" s="1130"/>
      <c r="J232" s="1120"/>
      <c r="K232" s="1122"/>
      <c r="L232" s="808">
        <v>148545600</v>
      </c>
    </row>
    <row r="233" spans="1:12" ht="95.25" customHeight="1" thickBot="1" x14ac:dyDescent="0.3">
      <c r="A233" s="914"/>
      <c r="B233" s="1137"/>
      <c r="C233" s="1042"/>
      <c r="D233" s="730" t="s">
        <v>282</v>
      </c>
      <c r="E233" s="802">
        <v>148545600</v>
      </c>
      <c r="F233" s="810">
        <v>116454662.69</v>
      </c>
      <c r="G233" s="1042"/>
      <c r="H233" s="1113"/>
      <c r="I233" s="1131"/>
      <c r="J233" s="1116"/>
      <c r="K233" s="1123"/>
      <c r="L233" s="982">
        <v>0</v>
      </c>
    </row>
    <row r="234" spans="1:12" ht="95.25" hidden="1" customHeight="1" x14ac:dyDescent="0.25">
      <c r="A234" s="914"/>
      <c r="B234" s="1135" t="s">
        <v>646</v>
      </c>
      <c r="C234" s="1041" t="s">
        <v>180</v>
      </c>
      <c r="D234" s="734" t="s">
        <v>225</v>
      </c>
      <c r="E234" s="349">
        <f>E235+E236</f>
        <v>0</v>
      </c>
      <c r="F234" s="341">
        <f>F235+F236</f>
        <v>0</v>
      </c>
      <c r="G234" s="1041" t="s">
        <v>426</v>
      </c>
      <c r="H234" s="1127" t="s">
        <v>626</v>
      </c>
      <c r="I234" s="1129" t="s">
        <v>357</v>
      </c>
      <c r="J234" s="1119">
        <v>0</v>
      </c>
      <c r="K234" s="1121">
        <v>0</v>
      </c>
      <c r="L234" s="979">
        <f>L235+L236</f>
        <v>0</v>
      </c>
    </row>
    <row r="235" spans="1:12" ht="95.25" hidden="1" customHeight="1" x14ac:dyDescent="0.25">
      <c r="A235" s="914"/>
      <c r="B235" s="1136"/>
      <c r="C235" s="1111"/>
      <c r="D235" s="934" t="s">
        <v>283</v>
      </c>
      <c r="E235" s="799">
        <f>0</f>
        <v>0</v>
      </c>
      <c r="F235" s="807">
        <v>0</v>
      </c>
      <c r="G235" s="1111"/>
      <c r="H235" s="1128"/>
      <c r="I235" s="1130"/>
      <c r="J235" s="1120"/>
      <c r="K235" s="1122"/>
      <c r="L235" s="808">
        <v>0</v>
      </c>
    </row>
    <row r="236" spans="1:12" ht="95.25" hidden="1" customHeight="1" thickBot="1" x14ac:dyDescent="0.3">
      <c r="A236" s="914"/>
      <c r="B236" s="1137"/>
      <c r="C236" s="1042"/>
      <c r="D236" s="730" t="s">
        <v>282</v>
      </c>
      <c r="E236" s="802">
        <v>0</v>
      </c>
      <c r="F236" s="810">
        <v>0</v>
      </c>
      <c r="G236" s="1042"/>
      <c r="H236" s="1113"/>
      <c r="I236" s="1131"/>
      <c r="J236" s="1116"/>
      <c r="K236" s="1123"/>
      <c r="L236" s="982">
        <v>0</v>
      </c>
    </row>
    <row r="237" spans="1:12" ht="95.25" customHeight="1" x14ac:dyDescent="0.25">
      <c r="A237" s="914"/>
      <c r="B237" s="1135" t="s">
        <v>627</v>
      </c>
      <c r="C237" s="1041" t="s">
        <v>180</v>
      </c>
      <c r="D237" s="734" t="s">
        <v>225</v>
      </c>
      <c r="E237" s="349">
        <f>E238+E239</f>
        <v>2910500</v>
      </c>
      <c r="F237" s="341">
        <f>F238+F239</f>
        <v>1764155.42</v>
      </c>
      <c r="G237" s="1041" t="s">
        <v>426</v>
      </c>
      <c r="H237" s="1127" t="s">
        <v>628</v>
      </c>
      <c r="I237" s="1129" t="s">
        <v>353</v>
      </c>
      <c r="J237" s="1119">
        <v>1</v>
      </c>
      <c r="K237" s="1121">
        <v>0</v>
      </c>
      <c r="L237" s="979">
        <f>L238+L239</f>
        <v>2910500</v>
      </c>
    </row>
    <row r="238" spans="1:12" ht="44.25" customHeight="1" x14ac:dyDescent="0.25">
      <c r="A238" s="914"/>
      <c r="B238" s="1136"/>
      <c r="C238" s="1111"/>
      <c r="D238" s="934" t="s">
        <v>283</v>
      </c>
      <c r="E238" s="799">
        <f>0</f>
        <v>0</v>
      </c>
      <c r="F238" s="807">
        <v>0</v>
      </c>
      <c r="G238" s="1111"/>
      <c r="H238" s="1128"/>
      <c r="I238" s="1130"/>
      <c r="J238" s="1120"/>
      <c r="K238" s="1122"/>
      <c r="L238" s="808">
        <v>0</v>
      </c>
    </row>
    <row r="239" spans="1:12" ht="24" customHeight="1" thickBot="1" x14ac:dyDescent="0.3">
      <c r="A239" s="914"/>
      <c r="B239" s="1137"/>
      <c r="C239" s="1042"/>
      <c r="D239" s="730" t="s">
        <v>282</v>
      </c>
      <c r="E239" s="802">
        <v>2910500</v>
      </c>
      <c r="F239" s="810">
        <v>1764155.42</v>
      </c>
      <c r="G239" s="1042"/>
      <c r="H239" s="1113"/>
      <c r="I239" s="1131"/>
      <c r="J239" s="1116"/>
      <c r="K239" s="1123"/>
      <c r="L239" s="982">
        <v>2910500</v>
      </c>
    </row>
    <row r="240" spans="1:12" ht="18" customHeight="1" x14ac:dyDescent="0.25">
      <c r="A240" s="1045"/>
      <c r="B240" s="1188" t="s">
        <v>629</v>
      </c>
      <c r="C240" s="1041"/>
      <c r="D240" s="734" t="s">
        <v>225</v>
      </c>
      <c r="E240" s="371">
        <f>E241+E242</f>
        <v>3014100</v>
      </c>
      <c r="F240" s="371">
        <f>F241+F242</f>
        <v>3011911.5</v>
      </c>
      <c r="G240" s="1041"/>
      <c r="H240" s="1041"/>
      <c r="I240" s="1129"/>
      <c r="J240" s="1119"/>
      <c r="K240" s="1041"/>
      <c r="L240" s="981">
        <f>L241+L242</f>
        <v>3014100</v>
      </c>
    </row>
    <row r="241" spans="1:15" ht="18" customHeight="1" x14ac:dyDescent="0.25">
      <c r="A241" s="1046"/>
      <c r="B241" s="1189"/>
      <c r="C241" s="1111"/>
      <c r="D241" s="934" t="s">
        <v>283</v>
      </c>
      <c r="E241" s="799">
        <f>E244+E247</f>
        <v>0</v>
      </c>
      <c r="F241" s="799">
        <f>F244+F247</f>
        <v>0</v>
      </c>
      <c r="G241" s="1111"/>
      <c r="H241" s="1111"/>
      <c r="I241" s="1130"/>
      <c r="J241" s="1120"/>
      <c r="K241" s="1111"/>
      <c r="L241" s="463">
        <f>L244+L247</f>
        <v>0</v>
      </c>
    </row>
    <row r="242" spans="1:15" ht="18" customHeight="1" thickBot="1" x14ac:dyDescent="0.3">
      <c r="A242" s="1046"/>
      <c r="B242" s="1190"/>
      <c r="C242" s="1042"/>
      <c r="D242" s="730" t="s">
        <v>282</v>
      </c>
      <c r="E242" s="799">
        <f>E245+E248</f>
        <v>3014100</v>
      </c>
      <c r="F242" s="799">
        <f>F245+F248</f>
        <v>3011911.5</v>
      </c>
      <c r="G242" s="1042"/>
      <c r="H242" s="1042"/>
      <c r="I242" s="1131"/>
      <c r="J242" s="1116"/>
      <c r="K242" s="1042"/>
      <c r="L242" s="983">
        <f>L245+L263</f>
        <v>3014100</v>
      </c>
    </row>
    <row r="243" spans="1:15" ht="119.25" customHeight="1" x14ac:dyDescent="0.25">
      <c r="A243" s="1046"/>
      <c r="B243" s="1135" t="s">
        <v>630</v>
      </c>
      <c r="C243" s="1041" t="s">
        <v>180</v>
      </c>
      <c r="D243" s="734" t="s">
        <v>225</v>
      </c>
      <c r="E243" s="349">
        <f>E244+E245</f>
        <v>3014100</v>
      </c>
      <c r="F243" s="341">
        <f>F244+F245</f>
        <v>3011911.5</v>
      </c>
      <c r="G243" s="1041" t="s">
        <v>426</v>
      </c>
      <c r="H243" s="654" t="s">
        <v>631</v>
      </c>
      <c r="I243" s="654" t="s">
        <v>353</v>
      </c>
      <c r="J243" s="952">
        <v>95</v>
      </c>
      <c r="K243" s="956">
        <v>95</v>
      </c>
      <c r="L243" s="979">
        <f>L244+L245</f>
        <v>3014100</v>
      </c>
    </row>
    <row r="244" spans="1:15" ht="64.5" customHeight="1" x14ac:dyDescent="0.25">
      <c r="A244" s="1046"/>
      <c r="B244" s="1136"/>
      <c r="C244" s="1111"/>
      <c r="D244" s="934" t="s">
        <v>283</v>
      </c>
      <c r="E244" s="799">
        <f>0</f>
        <v>0</v>
      </c>
      <c r="F244" s="807">
        <v>0</v>
      </c>
      <c r="G244" s="1111"/>
      <c r="H244" s="767" t="s">
        <v>632</v>
      </c>
      <c r="I244" s="844" t="s">
        <v>353</v>
      </c>
      <c r="J244" s="924">
        <v>30</v>
      </c>
      <c r="K244" s="932">
        <v>21</v>
      </c>
      <c r="L244" s="808">
        <v>0</v>
      </c>
    </row>
    <row r="245" spans="1:15" ht="66" customHeight="1" thickBot="1" x14ac:dyDescent="0.3">
      <c r="A245" s="1046"/>
      <c r="B245" s="1137"/>
      <c r="C245" s="1042"/>
      <c r="D245" s="730" t="s">
        <v>282</v>
      </c>
      <c r="E245" s="802">
        <v>3014100</v>
      </c>
      <c r="F245" s="810">
        <v>3011911.5</v>
      </c>
      <c r="G245" s="1042"/>
      <c r="H245" s="766" t="s">
        <v>633</v>
      </c>
      <c r="I245" s="843" t="s">
        <v>634</v>
      </c>
      <c r="J245" s="918">
        <v>28.8</v>
      </c>
      <c r="K245" s="930">
        <v>29</v>
      </c>
      <c r="L245" s="982">
        <v>3014100</v>
      </c>
    </row>
    <row r="246" spans="1:15" ht="95.25" hidden="1" customHeight="1" x14ac:dyDescent="0.25">
      <c r="A246" s="1046"/>
      <c r="B246" s="1135" t="s">
        <v>635</v>
      </c>
      <c r="C246" s="1041" t="s">
        <v>180</v>
      </c>
      <c r="D246" s="734" t="s">
        <v>225</v>
      </c>
      <c r="E246" s="349">
        <f>E247+E248</f>
        <v>0</v>
      </c>
      <c r="F246" s="341">
        <f>F247+F248</f>
        <v>0</v>
      </c>
      <c r="G246" s="1041" t="s">
        <v>426</v>
      </c>
      <c r="H246" s="1127" t="s">
        <v>636</v>
      </c>
      <c r="I246" s="911" t="s">
        <v>353</v>
      </c>
      <c r="J246" s="1119">
        <v>0</v>
      </c>
      <c r="K246" s="1121">
        <v>0</v>
      </c>
      <c r="L246" s="979">
        <f>L247+L248</f>
        <v>0</v>
      </c>
    </row>
    <row r="247" spans="1:15" ht="16.5" hidden="1" customHeight="1" x14ac:dyDescent="0.25">
      <c r="A247" s="1046"/>
      <c r="B247" s="1136"/>
      <c r="C247" s="1111"/>
      <c r="D247" s="934" t="s">
        <v>283</v>
      </c>
      <c r="E247" s="799">
        <f>0</f>
        <v>0</v>
      </c>
      <c r="F247" s="807">
        <v>0</v>
      </c>
      <c r="G247" s="1111"/>
      <c r="H247" s="1128"/>
      <c r="I247" s="912"/>
      <c r="J247" s="1120"/>
      <c r="K247" s="1122"/>
      <c r="L247" s="808">
        <v>0</v>
      </c>
    </row>
    <row r="248" spans="1:15" ht="27.75" hidden="1" customHeight="1" thickBot="1" x14ac:dyDescent="0.3">
      <c r="A248" s="1046"/>
      <c r="B248" s="1137"/>
      <c r="C248" s="1042"/>
      <c r="D248" s="730" t="s">
        <v>282</v>
      </c>
      <c r="E248" s="802">
        <v>0</v>
      </c>
      <c r="F248" s="810">
        <v>0</v>
      </c>
      <c r="G248" s="1042"/>
      <c r="H248" s="1113"/>
      <c r="I248" s="913"/>
      <c r="J248" s="1116"/>
      <c r="K248" s="1123"/>
      <c r="L248" s="982">
        <v>0</v>
      </c>
    </row>
    <row r="249" spans="1:15" ht="27.75" customHeight="1" x14ac:dyDescent="0.25">
      <c r="A249" s="1046"/>
      <c r="B249" s="1188" t="s">
        <v>855</v>
      </c>
      <c r="C249" s="1045" t="s">
        <v>180</v>
      </c>
      <c r="D249" s="734" t="s">
        <v>225</v>
      </c>
      <c r="E249" s="371">
        <f>E250+E251</f>
        <v>0</v>
      </c>
      <c r="F249" s="341">
        <f>F250+F251</f>
        <v>0</v>
      </c>
      <c r="G249" s="1041"/>
      <c r="H249" s="1041"/>
      <c r="I249" s="1041"/>
      <c r="J249" s="1121"/>
      <c r="K249" s="1121"/>
      <c r="L249" s="1421"/>
    </row>
    <row r="250" spans="1:15" ht="27.75" customHeight="1" x14ac:dyDescent="0.25">
      <c r="A250" s="1046"/>
      <c r="B250" s="1189"/>
      <c r="C250" s="1046"/>
      <c r="D250" s="1015" t="s">
        <v>283</v>
      </c>
      <c r="E250" s="799">
        <f>0</f>
        <v>0</v>
      </c>
      <c r="F250" s="807">
        <v>0</v>
      </c>
      <c r="G250" s="1111"/>
      <c r="H250" s="1111"/>
      <c r="I250" s="1111"/>
      <c r="J250" s="1122"/>
      <c r="K250" s="1122"/>
      <c r="L250" s="808"/>
    </row>
    <row r="251" spans="1:15" ht="27.75" customHeight="1" thickBot="1" x14ac:dyDescent="0.3">
      <c r="A251" s="1046"/>
      <c r="B251" s="1190"/>
      <c r="C251" s="1047"/>
      <c r="D251" s="1006" t="s">
        <v>282</v>
      </c>
      <c r="E251" s="802">
        <v>0</v>
      </c>
      <c r="F251" s="842">
        <v>0</v>
      </c>
      <c r="G251" s="1042"/>
      <c r="H251" s="1042"/>
      <c r="I251" s="1042"/>
      <c r="J251" s="1123"/>
      <c r="K251" s="1123"/>
      <c r="L251" s="984"/>
    </row>
    <row r="252" spans="1:15" ht="27.75" customHeight="1" x14ac:dyDescent="0.25">
      <c r="A252" s="1046"/>
      <c r="B252" s="1135" t="s">
        <v>856</v>
      </c>
      <c r="C252" s="1041" t="s">
        <v>180</v>
      </c>
      <c r="D252" s="734" t="s">
        <v>225</v>
      </c>
      <c r="E252" s="371">
        <f>E253+E254</f>
        <v>0</v>
      </c>
      <c r="F252" s="341">
        <f>F253+F254</f>
        <v>0</v>
      </c>
      <c r="G252" s="1041" t="s">
        <v>426</v>
      </c>
      <c r="H252" s="768" t="s">
        <v>857</v>
      </c>
      <c r="I252" s="1420" t="s">
        <v>859</v>
      </c>
      <c r="J252" s="1019" t="s">
        <v>858</v>
      </c>
      <c r="K252" s="1422">
        <v>182.87</v>
      </c>
      <c r="L252" s="895"/>
    </row>
    <row r="253" spans="1:15" ht="27.75" customHeight="1" x14ac:dyDescent="0.25">
      <c r="A253" s="1046"/>
      <c r="B253" s="1136"/>
      <c r="C253" s="1111"/>
      <c r="D253" s="1015" t="s">
        <v>283</v>
      </c>
      <c r="E253" s="799">
        <f>0</f>
        <v>0</v>
      </c>
      <c r="F253" s="807">
        <v>0</v>
      </c>
      <c r="G253" s="1111"/>
      <c r="H253" s="1013" t="s">
        <v>860</v>
      </c>
      <c r="I253" s="1013" t="s">
        <v>859</v>
      </c>
      <c r="J253" s="1014" t="s">
        <v>861</v>
      </c>
      <c r="K253" s="1423">
        <v>727.1</v>
      </c>
      <c r="L253" s="463"/>
    </row>
    <row r="254" spans="1:15" ht="27.75" customHeight="1" thickBot="1" x14ac:dyDescent="0.3">
      <c r="A254" s="1046"/>
      <c r="B254" s="1137"/>
      <c r="C254" s="1042"/>
      <c r="D254" s="1006" t="s">
        <v>282</v>
      </c>
      <c r="E254" s="802">
        <v>0</v>
      </c>
      <c r="F254" s="842">
        <v>0</v>
      </c>
      <c r="G254" s="1042"/>
      <c r="H254" s="1007"/>
      <c r="I254" s="1007"/>
      <c r="J254" s="1008"/>
      <c r="K254" s="1008"/>
      <c r="L254" s="984"/>
    </row>
    <row r="255" spans="1:15" x14ac:dyDescent="0.25">
      <c r="A255" s="1046"/>
      <c r="B255" s="1181" t="s">
        <v>778</v>
      </c>
      <c r="C255" s="1045" t="s">
        <v>180</v>
      </c>
      <c r="D255" s="734" t="s">
        <v>225</v>
      </c>
      <c r="E255" s="371">
        <f>E256+E257</f>
        <v>1017793052.6500001</v>
      </c>
      <c r="F255" s="371">
        <f>F256+F257</f>
        <v>691501106.30999982</v>
      </c>
      <c r="G255" s="1045"/>
      <c r="H255" s="1045"/>
      <c r="I255" s="1201"/>
      <c r="J255" s="1200"/>
      <c r="K255" s="1045"/>
      <c r="L255" s="981">
        <f>L256+L257</f>
        <v>1017793052.6500001</v>
      </c>
    </row>
    <row r="256" spans="1:15" x14ac:dyDescent="0.25">
      <c r="A256" s="1046"/>
      <c r="B256" s="1182"/>
      <c r="C256" s="1046"/>
      <c r="D256" s="727" t="s">
        <v>283</v>
      </c>
      <c r="E256" s="770">
        <f>E259+E326+E348+E369</f>
        <v>983647552.6500001</v>
      </c>
      <c r="F256" s="770">
        <f>F259+F326+F348+F369</f>
        <v>672072365.15999985</v>
      </c>
      <c r="G256" s="1046"/>
      <c r="H256" s="1046"/>
      <c r="I256" s="1202"/>
      <c r="J256" s="1173"/>
      <c r="K256" s="1046"/>
      <c r="L256" s="988">
        <f>L259+L326+L348+L369</f>
        <v>983647552.6500001</v>
      </c>
      <c r="O256" s="772">
        <f>O259+O326+O348+O369</f>
        <v>0</v>
      </c>
    </row>
    <row r="257" spans="1:15" ht="15.75" thickBot="1" x14ac:dyDescent="0.3">
      <c r="A257" s="1046"/>
      <c r="B257" s="1183"/>
      <c r="C257" s="1047"/>
      <c r="D257" s="771" t="s">
        <v>282</v>
      </c>
      <c r="E257" s="770">
        <f>E260+E327+E349+E370</f>
        <v>34145500</v>
      </c>
      <c r="F257" s="770">
        <f>F260+F327+F349+F370</f>
        <v>19428741.149999999</v>
      </c>
      <c r="G257" s="1047"/>
      <c r="H257" s="1047"/>
      <c r="I257" s="1203"/>
      <c r="J257" s="1174"/>
      <c r="K257" s="1047"/>
      <c r="L257" s="989">
        <f>L260+L327+L349+L370</f>
        <v>34145500</v>
      </c>
    </row>
    <row r="258" spans="1:15" x14ac:dyDescent="0.25">
      <c r="A258" s="1046"/>
      <c r="B258" s="1181" t="s">
        <v>647</v>
      </c>
      <c r="C258" s="1045" t="s">
        <v>180</v>
      </c>
      <c r="D258" s="734" t="s">
        <v>225</v>
      </c>
      <c r="E258" s="371">
        <f>E259+E260</f>
        <v>841531979.60000002</v>
      </c>
      <c r="F258" s="371">
        <f>F259+F260</f>
        <v>557757836.03999996</v>
      </c>
      <c r="G258" s="1045"/>
      <c r="H258" s="1045"/>
      <c r="I258" s="1201"/>
      <c r="J258" s="1200"/>
      <c r="K258" s="1045"/>
      <c r="L258" s="981">
        <f>L259+L260</f>
        <v>841531979.60000002</v>
      </c>
    </row>
    <row r="259" spans="1:15" x14ac:dyDescent="0.25">
      <c r="A259" s="1046"/>
      <c r="B259" s="1182"/>
      <c r="C259" s="1046"/>
      <c r="D259" s="727" t="s">
        <v>283</v>
      </c>
      <c r="E259" s="770">
        <f>E262+E286+E298+E301+E311+E314+E317</f>
        <v>828475379.60000002</v>
      </c>
      <c r="F259" s="770">
        <f>F262+F286+F298+F301+F311+F314+F317</f>
        <v>557757836.03999996</v>
      </c>
      <c r="G259" s="1046"/>
      <c r="H259" s="1046"/>
      <c r="I259" s="1202"/>
      <c r="J259" s="1173"/>
      <c r="K259" s="1046"/>
      <c r="L259" s="988">
        <f>L262+L286+L298+L301+L311+L314+L317</f>
        <v>828475379.60000002</v>
      </c>
    </row>
    <row r="260" spans="1:15" ht="15.75" thickBot="1" x14ac:dyDescent="0.3">
      <c r="A260" s="1046"/>
      <c r="B260" s="1183"/>
      <c r="C260" s="1047"/>
      <c r="D260" s="771" t="s">
        <v>282</v>
      </c>
      <c r="E260" s="770">
        <f>E263+E287+E299+E302+E312+E315+E318</f>
        <v>13056600</v>
      </c>
      <c r="F260" s="770">
        <f>F263+F287+F299+F302+F312+F315+F318</f>
        <v>0</v>
      </c>
      <c r="G260" s="1047"/>
      <c r="H260" s="1047"/>
      <c r="I260" s="1203"/>
      <c r="J260" s="1174"/>
      <c r="K260" s="1047"/>
      <c r="L260" s="989">
        <f>L263+L287+L299+L302+L312+L315+L318</f>
        <v>13056600</v>
      </c>
    </row>
    <row r="261" spans="1:15" ht="35.25" customHeight="1" x14ac:dyDescent="0.25">
      <c r="A261" s="1046"/>
      <c r="B261" s="1124" t="s">
        <v>648</v>
      </c>
      <c r="C261" s="1041" t="s">
        <v>180</v>
      </c>
      <c r="D261" s="734" t="s">
        <v>225</v>
      </c>
      <c r="E261" s="349">
        <f>E262+E263</f>
        <v>184384093.24000001</v>
      </c>
      <c r="F261" s="341">
        <f>F262+F263</f>
        <v>115688761.58</v>
      </c>
      <c r="G261" s="1041" t="s">
        <v>426</v>
      </c>
      <c r="H261" s="1127" t="s">
        <v>352</v>
      </c>
      <c r="I261" s="1129" t="s">
        <v>353</v>
      </c>
      <c r="J261" s="1119">
        <v>200</v>
      </c>
      <c r="K261" s="1041">
        <v>208.5</v>
      </c>
      <c r="L261" s="979">
        <f>L262+L263</f>
        <v>184384093.24000001</v>
      </c>
    </row>
    <row r="262" spans="1:15" ht="33.75" customHeight="1" x14ac:dyDescent="0.25">
      <c r="A262" s="1046"/>
      <c r="B262" s="1125"/>
      <c r="C262" s="1111"/>
      <c r="D262" s="934" t="s">
        <v>283</v>
      </c>
      <c r="E262" s="799">
        <v>184384093.24000001</v>
      </c>
      <c r="F262" s="807">
        <v>115688761.58</v>
      </c>
      <c r="G262" s="1111"/>
      <c r="H262" s="1128"/>
      <c r="I262" s="1130"/>
      <c r="J262" s="1120"/>
      <c r="K262" s="1111"/>
      <c r="L262" s="808">
        <v>184384093.24000001</v>
      </c>
      <c r="O262" s="772"/>
    </row>
    <row r="263" spans="1:15" ht="95.25" customHeight="1" x14ac:dyDescent="0.25">
      <c r="A263" s="1046"/>
      <c r="B263" s="1125"/>
      <c r="C263" s="1111"/>
      <c r="D263" s="1112" t="s">
        <v>282</v>
      </c>
      <c r="E263" s="1142"/>
      <c r="F263" s="1145">
        <v>0</v>
      </c>
      <c r="G263" s="1111"/>
      <c r="H263" s="1128"/>
      <c r="I263" s="1130"/>
      <c r="J263" s="1120"/>
      <c r="K263" s="1111"/>
      <c r="L263" s="964">
        <v>0</v>
      </c>
    </row>
    <row r="264" spans="1:15" ht="24" customHeight="1" x14ac:dyDescent="0.25">
      <c r="A264" s="1046"/>
      <c r="B264" s="1125"/>
      <c r="C264" s="1111"/>
      <c r="D264" s="1128"/>
      <c r="E264" s="1143"/>
      <c r="F264" s="1146"/>
      <c r="G264" s="1111"/>
      <c r="H264" s="1128"/>
      <c r="I264" s="1130"/>
      <c r="J264" s="1120"/>
      <c r="K264" s="1111"/>
      <c r="L264" s="879"/>
    </row>
    <row r="265" spans="1:15" ht="24" customHeight="1" x14ac:dyDescent="0.25">
      <c r="A265" s="1046"/>
      <c r="B265" s="1125"/>
      <c r="C265" s="1111"/>
      <c r="D265" s="1128"/>
      <c r="E265" s="1143"/>
      <c r="F265" s="1146"/>
      <c r="G265" s="1111"/>
      <c r="H265" s="1128"/>
      <c r="I265" s="1130"/>
      <c r="J265" s="1120"/>
      <c r="K265" s="1111"/>
      <c r="L265" s="879"/>
    </row>
    <row r="266" spans="1:15" ht="24" customHeight="1" x14ac:dyDescent="0.25">
      <c r="A266" s="1046"/>
      <c r="B266" s="1125"/>
      <c r="C266" s="1111"/>
      <c r="D266" s="1128"/>
      <c r="E266" s="1143"/>
      <c r="F266" s="1146"/>
      <c r="G266" s="1111"/>
      <c r="H266" s="1128"/>
      <c r="I266" s="1130"/>
      <c r="J266" s="1120"/>
      <c r="K266" s="1111"/>
      <c r="L266" s="879"/>
    </row>
    <row r="267" spans="1:15" ht="21.75" customHeight="1" x14ac:dyDescent="0.25">
      <c r="A267" s="1046"/>
      <c r="B267" s="1125"/>
      <c r="C267" s="1111"/>
      <c r="D267" s="1128"/>
      <c r="E267" s="1143"/>
      <c r="F267" s="1146"/>
      <c r="G267" s="1111"/>
      <c r="H267" s="1128"/>
      <c r="I267" s="1130"/>
      <c r="J267" s="1120"/>
      <c r="K267" s="1111"/>
      <c r="L267" s="992"/>
    </row>
    <row r="268" spans="1:15" ht="24" hidden="1" customHeight="1" x14ac:dyDescent="0.25">
      <c r="A268" s="1046"/>
      <c r="B268" s="1125"/>
      <c r="C268" s="1111"/>
      <c r="D268" s="1128"/>
      <c r="E268" s="1143"/>
      <c r="F268" s="1146"/>
      <c r="G268" s="1111"/>
      <c r="H268" s="1128"/>
      <c r="I268" s="1130"/>
      <c r="J268" s="1120"/>
      <c r="K268" s="1111"/>
      <c r="L268" s="879"/>
    </row>
    <row r="269" spans="1:15" ht="24" hidden="1" customHeight="1" x14ac:dyDescent="0.25">
      <c r="A269" s="1046"/>
      <c r="B269" s="1125"/>
      <c r="C269" s="1111"/>
      <c r="D269" s="1128"/>
      <c r="E269" s="1143"/>
      <c r="F269" s="1146"/>
      <c r="G269" s="1111"/>
      <c r="H269" s="1128"/>
      <c r="I269" s="1130"/>
      <c r="J269" s="1120"/>
      <c r="K269" s="1111"/>
      <c r="L269" s="879"/>
    </row>
    <row r="270" spans="1:15" ht="24" hidden="1" customHeight="1" x14ac:dyDescent="0.25">
      <c r="A270" s="1046"/>
      <c r="B270" s="1125"/>
      <c r="C270" s="1111"/>
      <c r="D270" s="1128"/>
      <c r="E270" s="1143"/>
      <c r="F270" s="1146"/>
      <c r="G270" s="1111"/>
      <c r="H270" s="1128"/>
      <c r="I270" s="1130"/>
      <c r="J270" s="1120"/>
      <c r="K270" s="1111"/>
      <c r="L270" s="879"/>
    </row>
    <row r="271" spans="1:15" ht="24" hidden="1" customHeight="1" x14ac:dyDescent="0.25">
      <c r="A271" s="1046"/>
      <c r="B271" s="1125"/>
      <c r="C271" s="1111"/>
      <c r="D271" s="1128"/>
      <c r="E271" s="1143"/>
      <c r="F271" s="1146"/>
      <c r="G271" s="1111"/>
      <c r="H271" s="1141"/>
      <c r="I271" s="1385"/>
      <c r="J271" s="1167"/>
      <c r="K271" s="1166"/>
      <c r="L271" s="879"/>
    </row>
    <row r="272" spans="1:15" ht="24" customHeight="1" x14ac:dyDescent="0.25">
      <c r="A272" s="1046"/>
      <c r="B272" s="1125"/>
      <c r="C272" s="1111"/>
      <c r="D272" s="1128"/>
      <c r="E272" s="1143"/>
      <c r="F272" s="1146"/>
      <c r="G272" s="1111"/>
      <c r="H272" s="1411" t="s">
        <v>862</v>
      </c>
      <c r="I272" s="1410" t="s">
        <v>353</v>
      </c>
      <c r="J272" s="1163">
        <v>100</v>
      </c>
      <c r="K272" s="1386">
        <v>107.6</v>
      </c>
      <c r="L272" s="879"/>
    </row>
    <row r="273" spans="1:12" ht="24" customHeight="1" x14ac:dyDescent="0.25">
      <c r="A273" s="1046"/>
      <c r="B273" s="1125"/>
      <c r="C273" s="1111"/>
      <c r="D273" s="1128"/>
      <c r="E273" s="1143"/>
      <c r="F273" s="1146"/>
      <c r="G273" s="1111"/>
      <c r="H273" s="1411"/>
      <c r="I273" s="1410"/>
      <c r="J273" s="1163"/>
      <c r="K273" s="1386"/>
      <c r="L273" s="879"/>
    </row>
    <row r="274" spans="1:12" ht="24" customHeight="1" x14ac:dyDescent="0.25">
      <c r="A274" s="1046"/>
      <c r="B274" s="1125"/>
      <c r="C274" s="1111"/>
      <c r="D274" s="1128"/>
      <c r="E274" s="1143"/>
      <c r="F274" s="1146"/>
      <c r="G274" s="1111"/>
      <c r="H274" s="1411"/>
      <c r="I274" s="1410"/>
      <c r="J274" s="1163"/>
      <c r="K274" s="1386"/>
      <c r="L274" s="879"/>
    </row>
    <row r="275" spans="1:12" ht="24" customHeight="1" x14ac:dyDescent="0.25">
      <c r="A275" s="1046"/>
      <c r="B275" s="1125"/>
      <c r="C275" s="1111"/>
      <c r="D275" s="1128"/>
      <c r="E275" s="1143"/>
      <c r="F275" s="1146"/>
      <c r="G275" s="1111"/>
      <c r="H275" s="1411"/>
      <c r="I275" s="1410"/>
      <c r="J275" s="1163"/>
      <c r="K275" s="1386"/>
      <c r="L275" s="879"/>
    </row>
    <row r="276" spans="1:12" ht="24" customHeight="1" x14ac:dyDescent="0.25">
      <c r="A276" s="1046"/>
      <c r="B276" s="1125"/>
      <c r="C276" s="1111"/>
      <c r="D276" s="1128"/>
      <c r="E276" s="1143"/>
      <c r="F276" s="1146"/>
      <c r="G276" s="1111"/>
      <c r="H276" s="1411"/>
      <c r="I276" s="1410"/>
      <c r="J276" s="1163"/>
      <c r="K276" s="1386"/>
      <c r="L276" s="879"/>
    </row>
    <row r="277" spans="1:12" ht="24" customHeight="1" x14ac:dyDescent="0.25">
      <c r="A277" s="1046"/>
      <c r="B277" s="1125"/>
      <c r="C277" s="1111"/>
      <c r="D277" s="1128"/>
      <c r="E277" s="1143"/>
      <c r="F277" s="1146"/>
      <c r="G277" s="1111"/>
      <c r="H277" s="1411"/>
      <c r="I277" s="1410"/>
      <c r="J277" s="1163"/>
      <c r="K277" s="1386"/>
      <c r="L277" s="879"/>
    </row>
    <row r="278" spans="1:12" ht="24" customHeight="1" x14ac:dyDescent="0.25">
      <c r="A278" s="1046"/>
      <c r="B278" s="1125"/>
      <c r="C278" s="1111"/>
      <c r="D278" s="1128"/>
      <c r="E278" s="1143"/>
      <c r="F278" s="1146"/>
      <c r="G278" s="1111"/>
      <c r="H278" s="1411"/>
      <c r="I278" s="1410"/>
      <c r="J278" s="1163"/>
      <c r="K278" s="1386"/>
      <c r="L278" s="992"/>
    </row>
    <row r="279" spans="1:12" ht="24" customHeight="1" x14ac:dyDescent="0.25">
      <c r="A279" s="1046"/>
      <c r="B279" s="1125"/>
      <c r="C279" s="1111"/>
      <c r="D279" s="1128"/>
      <c r="E279" s="1143"/>
      <c r="F279" s="1146"/>
      <c r="G279" s="1111"/>
      <c r="H279" s="1112" t="s">
        <v>620</v>
      </c>
      <c r="I279" s="1384" t="s">
        <v>353</v>
      </c>
      <c r="J279" s="1115">
        <v>100</v>
      </c>
      <c r="K279" s="1406">
        <v>100.5</v>
      </c>
      <c r="L279" s="879"/>
    </row>
    <row r="280" spans="1:12" ht="24" customHeight="1" x14ac:dyDescent="0.25">
      <c r="A280" s="1046"/>
      <c r="B280" s="1125"/>
      <c r="C280" s="1111"/>
      <c r="D280" s="1128"/>
      <c r="E280" s="1143"/>
      <c r="F280" s="1146"/>
      <c r="G280" s="1111"/>
      <c r="H280" s="1128"/>
      <c r="I280" s="1130"/>
      <c r="J280" s="1120"/>
      <c r="K280" s="1407"/>
      <c r="L280" s="879"/>
    </row>
    <row r="281" spans="1:12" ht="24" customHeight="1" x14ac:dyDescent="0.25">
      <c r="A281" s="1046"/>
      <c r="B281" s="1125"/>
      <c r="C281" s="1111"/>
      <c r="D281" s="1128"/>
      <c r="E281" s="1143"/>
      <c r="F281" s="1146"/>
      <c r="G281" s="1111"/>
      <c r="H281" s="1128"/>
      <c r="I281" s="1130"/>
      <c r="J281" s="1120"/>
      <c r="K281" s="1407"/>
      <c r="L281" s="879"/>
    </row>
    <row r="282" spans="1:12" ht="24" customHeight="1" x14ac:dyDescent="0.25">
      <c r="A282" s="1046"/>
      <c r="B282" s="1125"/>
      <c r="C282" s="1111"/>
      <c r="D282" s="1128"/>
      <c r="E282" s="1143"/>
      <c r="F282" s="1146"/>
      <c r="G282" s="1111"/>
      <c r="H282" s="1128"/>
      <c r="I282" s="1130"/>
      <c r="J282" s="1120"/>
      <c r="K282" s="1407"/>
      <c r="L282" s="879"/>
    </row>
    <row r="283" spans="1:12" ht="24" customHeight="1" x14ac:dyDescent="0.25">
      <c r="A283" s="1046"/>
      <c r="B283" s="1125"/>
      <c r="C283" s="1111"/>
      <c r="D283" s="1128"/>
      <c r="E283" s="1143"/>
      <c r="F283" s="1146"/>
      <c r="G283" s="1111"/>
      <c r="H283" s="1128"/>
      <c r="I283" s="1130"/>
      <c r="J283" s="1120"/>
      <c r="K283" s="1407"/>
      <c r="L283" s="879"/>
    </row>
    <row r="284" spans="1:12" ht="11.25" customHeight="1" thickBot="1" x14ac:dyDescent="0.3">
      <c r="A284" s="1046"/>
      <c r="B284" s="1126"/>
      <c r="C284" s="1042"/>
      <c r="D284" s="1113"/>
      <c r="E284" s="1148"/>
      <c r="F284" s="1149"/>
      <c r="G284" s="1042"/>
      <c r="H284" s="1128"/>
      <c r="I284" s="1130"/>
      <c r="J284" s="1120"/>
      <c r="K284" s="1408"/>
      <c r="L284" s="880"/>
    </row>
    <row r="285" spans="1:12" ht="25.5" x14ac:dyDescent="0.25">
      <c r="A285" s="1046"/>
      <c r="B285" s="1135" t="s">
        <v>697</v>
      </c>
      <c r="C285" s="1041" t="s">
        <v>180</v>
      </c>
      <c r="D285" s="734" t="s">
        <v>225</v>
      </c>
      <c r="E285" s="349">
        <f>E286+E287</f>
        <v>531178554.91000003</v>
      </c>
      <c r="F285" s="341">
        <f>F286+F287</f>
        <v>350887841.64999998</v>
      </c>
      <c r="G285" s="1041" t="s">
        <v>426</v>
      </c>
      <c r="H285" s="654" t="s">
        <v>649</v>
      </c>
      <c r="I285" s="919" t="s">
        <v>357</v>
      </c>
      <c r="J285" s="871">
        <v>0</v>
      </c>
      <c r="K285" s="956">
        <v>0</v>
      </c>
      <c r="L285" s="981">
        <f>L286+L287</f>
        <v>531178554.91000003</v>
      </c>
    </row>
    <row r="286" spans="1:12" ht="25.5" x14ac:dyDescent="0.25">
      <c r="A286" s="1046"/>
      <c r="B286" s="1136"/>
      <c r="C286" s="1111"/>
      <c r="D286" s="934" t="s">
        <v>283</v>
      </c>
      <c r="E286" s="806">
        <v>531178554.91000003</v>
      </c>
      <c r="F286" s="807">
        <v>350887841.64999998</v>
      </c>
      <c r="G286" s="1111"/>
      <c r="H286" s="728" t="s">
        <v>650</v>
      </c>
      <c r="I286" s="920" t="s">
        <v>357</v>
      </c>
      <c r="J286" s="882">
        <v>0</v>
      </c>
      <c r="K286" s="957">
        <v>0</v>
      </c>
      <c r="L286" s="463">
        <v>531178554.91000003</v>
      </c>
    </row>
    <row r="287" spans="1:12" ht="26.25" thickBot="1" x14ac:dyDescent="0.3">
      <c r="A287" s="1046"/>
      <c r="B287" s="1136"/>
      <c r="C287" s="1111"/>
      <c r="D287" s="730" t="s">
        <v>282</v>
      </c>
      <c r="E287" s="809">
        <f>0</f>
        <v>0</v>
      </c>
      <c r="F287" s="810">
        <v>0</v>
      </c>
      <c r="G287" s="1111"/>
      <c r="H287" s="728" t="s">
        <v>651</v>
      </c>
      <c r="I287" s="920" t="s">
        <v>357</v>
      </c>
      <c r="J287" s="882">
        <v>0</v>
      </c>
      <c r="K287" s="957">
        <v>0</v>
      </c>
      <c r="L287" s="993">
        <v>0</v>
      </c>
    </row>
    <row r="288" spans="1:12" ht="38.25" x14ac:dyDescent="0.25">
      <c r="A288" s="1046"/>
      <c r="B288" s="1136"/>
      <c r="C288" s="1111"/>
      <c r="D288" s="1111"/>
      <c r="E288" s="1304"/>
      <c r="F288" s="1306"/>
      <c r="G288" s="1111"/>
      <c r="H288" s="728" t="s">
        <v>652</v>
      </c>
      <c r="I288" s="920" t="s">
        <v>357</v>
      </c>
      <c r="J288" s="882">
        <v>0</v>
      </c>
      <c r="K288" s="957">
        <v>0</v>
      </c>
      <c r="L288" s="1041"/>
    </row>
    <row r="289" spans="1:12" ht="38.25" x14ac:dyDescent="0.25">
      <c r="A289" s="1046"/>
      <c r="B289" s="1136"/>
      <c r="C289" s="1111"/>
      <c r="D289" s="1111"/>
      <c r="E289" s="1304"/>
      <c r="F289" s="1306"/>
      <c r="G289" s="1111"/>
      <c r="H289" s="728" t="s">
        <v>653</v>
      </c>
      <c r="I289" s="920" t="s">
        <v>357</v>
      </c>
      <c r="J289" s="882">
        <v>0</v>
      </c>
      <c r="K289" s="957">
        <v>0</v>
      </c>
      <c r="L289" s="1111"/>
    </row>
    <row r="290" spans="1:12" ht="30" customHeight="1" x14ac:dyDescent="0.25">
      <c r="A290" s="1046"/>
      <c r="B290" s="1136"/>
      <c r="C290" s="1111"/>
      <c r="D290" s="1111"/>
      <c r="E290" s="1304"/>
      <c r="F290" s="1306"/>
      <c r="G290" s="1111"/>
      <c r="H290" s="728" t="s">
        <v>654</v>
      </c>
      <c r="I290" s="920" t="s">
        <v>355</v>
      </c>
      <c r="J290" s="882">
        <v>13422</v>
      </c>
      <c r="K290" s="957">
        <f>SUM(K291:K294)</f>
        <v>9862</v>
      </c>
      <c r="L290" s="1111"/>
    </row>
    <row r="291" spans="1:12" ht="43.5" customHeight="1" x14ac:dyDescent="0.25">
      <c r="A291" s="1046"/>
      <c r="B291" s="1136"/>
      <c r="C291" s="1111"/>
      <c r="D291" s="1111"/>
      <c r="E291" s="1304"/>
      <c r="F291" s="1306"/>
      <c r="G291" s="1111"/>
      <c r="H291" s="743" t="s">
        <v>655</v>
      </c>
      <c r="I291" s="927" t="s">
        <v>355</v>
      </c>
      <c r="J291" s="882">
        <v>4746</v>
      </c>
      <c r="K291" s="957">
        <v>3345</v>
      </c>
      <c r="L291" s="1111"/>
    </row>
    <row r="292" spans="1:12" ht="41.25" customHeight="1" x14ac:dyDescent="0.25">
      <c r="A292" s="1046"/>
      <c r="B292" s="1136"/>
      <c r="C292" s="1111"/>
      <c r="D292" s="1111"/>
      <c r="E292" s="1304"/>
      <c r="F292" s="1306"/>
      <c r="G292" s="1111"/>
      <c r="H292" s="743" t="s">
        <v>656</v>
      </c>
      <c r="I292" s="927" t="s">
        <v>355</v>
      </c>
      <c r="J292" s="882">
        <v>1706</v>
      </c>
      <c r="K292" s="957">
        <v>1284</v>
      </c>
      <c r="L292" s="1111"/>
    </row>
    <row r="293" spans="1:12" ht="43.5" customHeight="1" x14ac:dyDescent="0.25">
      <c r="A293" s="1046"/>
      <c r="B293" s="1136"/>
      <c r="C293" s="1111"/>
      <c r="D293" s="1111"/>
      <c r="E293" s="1304"/>
      <c r="F293" s="1306"/>
      <c r="G293" s="1111"/>
      <c r="H293" s="743" t="s">
        <v>657</v>
      </c>
      <c r="I293" s="927" t="s">
        <v>355</v>
      </c>
      <c r="J293" s="882">
        <v>6135</v>
      </c>
      <c r="K293" s="957">
        <v>4602</v>
      </c>
      <c r="L293" s="1111"/>
    </row>
    <row r="294" spans="1:12" ht="57.75" customHeight="1" x14ac:dyDescent="0.25">
      <c r="A294" s="1046"/>
      <c r="B294" s="1136"/>
      <c r="C294" s="1111"/>
      <c r="D294" s="1111"/>
      <c r="E294" s="1304"/>
      <c r="F294" s="1306"/>
      <c r="G294" s="1111"/>
      <c r="H294" s="743" t="s">
        <v>658</v>
      </c>
      <c r="I294" s="927" t="s">
        <v>355</v>
      </c>
      <c r="J294" s="882">
        <v>835</v>
      </c>
      <c r="K294" s="957">
        <v>631</v>
      </c>
      <c r="L294" s="1111"/>
    </row>
    <row r="295" spans="1:12" ht="30" customHeight="1" x14ac:dyDescent="0.25">
      <c r="A295" s="1046"/>
      <c r="B295" s="1136"/>
      <c r="C295" s="1111"/>
      <c r="D295" s="1111"/>
      <c r="E295" s="1304"/>
      <c r="F295" s="1306"/>
      <c r="G295" s="1111"/>
      <c r="H295" s="743" t="s">
        <v>659</v>
      </c>
      <c r="I295" s="927" t="s">
        <v>353</v>
      </c>
      <c r="J295" s="882">
        <v>0</v>
      </c>
      <c r="K295" s="957">
        <v>0</v>
      </c>
      <c r="L295" s="1111"/>
    </row>
    <row r="296" spans="1:12" ht="38.25" customHeight="1" thickBot="1" x14ac:dyDescent="0.3">
      <c r="A296" s="1046"/>
      <c r="B296" s="1136"/>
      <c r="C296" s="1111"/>
      <c r="D296" s="1111"/>
      <c r="E296" s="1304"/>
      <c r="F296" s="1306"/>
      <c r="G296" s="1111"/>
      <c r="H296" s="151" t="s">
        <v>358</v>
      </c>
      <c r="I296" s="921" t="s">
        <v>353</v>
      </c>
      <c r="J296" s="882">
        <v>53</v>
      </c>
      <c r="K296" s="957">
        <v>53</v>
      </c>
      <c r="L296" s="1111"/>
    </row>
    <row r="297" spans="1:12" ht="31.5" customHeight="1" x14ac:dyDescent="0.25">
      <c r="A297" s="1046"/>
      <c r="B297" s="1135" t="s">
        <v>789</v>
      </c>
      <c r="C297" s="1041" t="s">
        <v>180</v>
      </c>
      <c r="D297" s="734" t="s">
        <v>225</v>
      </c>
      <c r="E297" s="349">
        <f>E298+E299</f>
        <v>15328172.289999999</v>
      </c>
      <c r="F297" s="341">
        <f>F298+F299</f>
        <v>10236405.84</v>
      </c>
      <c r="G297" s="1041" t="s">
        <v>426</v>
      </c>
      <c r="H297" s="654" t="s">
        <v>660</v>
      </c>
      <c r="I297" s="919" t="s">
        <v>359</v>
      </c>
      <c r="J297" s="883">
        <v>0</v>
      </c>
      <c r="K297" s="885">
        <v>0</v>
      </c>
      <c r="L297" s="979">
        <f>L298+L299</f>
        <v>15328172.289999999</v>
      </c>
    </row>
    <row r="298" spans="1:12" ht="16.5" customHeight="1" x14ac:dyDescent="0.25">
      <c r="A298" s="1046"/>
      <c r="B298" s="1136"/>
      <c r="C298" s="1111"/>
      <c r="D298" s="934" t="s">
        <v>283</v>
      </c>
      <c r="E298" s="806">
        <v>15328172.289999999</v>
      </c>
      <c r="F298" s="807">
        <v>10236405.84</v>
      </c>
      <c r="G298" s="1111"/>
      <c r="H298" s="728" t="s">
        <v>661</v>
      </c>
      <c r="I298" s="923" t="s">
        <v>359</v>
      </c>
      <c r="J298" s="884">
        <v>2799</v>
      </c>
      <c r="K298" s="968">
        <v>2680</v>
      </c>
      <c r="L298" s="808">
        <v>15328172.289999999</v>
      </c>
    </row>
    <row r="299" spans="1:12" ht="54" customHeight="1" thickBot="1" x14ac:dyDescent="0.3">
      <c r="A299" s="1046"/>
      <c r="B299" s="1137"/>
      <c r="C299" s="1042"/>
      <c r="D299" s="730" t="s">
        <v>282</v>
      </c>
      <c r="E299" s="809">
        <f>0</f>
        <v>0</v>
      </c>
      <c r="F299" s="810">
        <v>0</v>
      </c>
      <c r="G299" s="1042"/>
      <c r="H299" s="766" t="s">
        <v>662</v>
      </c>
      <c r="I299" s="907" t="s">
        <v>353</v>
      </c>
      <c r="J299" s="865">
        <v>100</v>
      </c>
      <c r="K299" s="969">
        <v>0</v>
      </c>
      <c r="L299" s="982">
        <v>0</v>
      </c>
    </row>
    <row r="300" spans="1:12" ht="29.25" customHeight="1" x14ac:dyDescent="0.25">
      <c r="A300" s="1046"/>
      <c r="B300" s="1135" t="s">
        <v>663</v>
      </c>
      <c r="C300" s="1041" t="s">
        <v>180</v>
      </c>
      <c r="D300" s="734" t="s">
        <v>225</v>
      </c>
      <c r="E300" s="349">
        <f>E301+E302</f>
        <v>24130758.760000002</v>
      </c>
      <c r="F300" s="341">
        <f>F301+F302</f>
        <v>15855116.939999999</v>
      </c>
      <c r="G300" s="1041" t="s">
        <v>426</v>
      </c>
      <c r="H300" s="654" t="s">
        <v>664</v>
      </c>
      <c r="I300" s="919" t="s">
        <v>355</v>
      </c>
      <c r="J300" s="952">
        <v>157650</v>
      </c>
      <c r="K300" s="956">
        <f>SUM(K301:K303)</f>
        <v>115468</v>
      </c>
      <c r="L300" s="981">
        <f>L301+L302</f>
        <v>24130758.760000002</v>
      </c>
    </row>
    <row r="301" spans="1:12" ht="29.25" customHeight="1" x14ac:dyDescent="0.25">
      <c r="A301" s="1046"/>
      <c r="B301" s="1136"/>
      <c r="C301" s="1111"/>
      <c r="D301" s="934" t="s">
        <v>283</v>
      </c>
      <c r="E301" s="806">
        <v>24130758.760000002</v>
      </c>
      <c r="F301" s="807">
        <v>15855116.939999999</v>
      </c>
      <c r="G301" s="1111"/>
      <c r="H301" s="728" t="s">
        <v>665</v>
      </c>
      <c r="I301" s="920" t="s">
        <v>355</v>
      </c>
      <c r="J301" s="942">
        <v>115876</v>
      </c>
      <c r="K301" s="957">
        <v>84462</v>
      </c>
      <c r="L301" s="463">
        <v>24130758.760000002</v>
      </c>
    </row>
    <row r="302" spans="1:12" ht="29.25" customHeight="1" thickBot="1" x14ac:dyDescent="0.3">
      <c r="A302" s="1046"/>
      <c r="B302" s="1136"/>
      <c r="C302" s="1111"/>
      <c r="D302" s="730" t="s">
        <v>282</v>
      </c>
      <c r="E302" s="809">
        <f>0</f>
        <v>0</v>
      </c>
      <c r="F302" s="810">
        <v>0</v>
      </c>
      <c r="G302" s="1111"/>
      <c r="H302" s="728" t="s">
        <v>666</v>
      </c>
      <c r="I302" s="920" t="s">
        <v>355</v>
      </c>
      <c r="J302" s="942">
        <v>32974</v>
      </c>
      <c r="K302" s="957">
        <v>24332</v>
      </c>
      <c r="L302" s="463">
        <v>0</v>
      </c>
    </row>
    <row r="303" spans="1:12" ht="45.75" customHeight="1" x14ac:dyDescent="0.25">
      <c r="A303" s="1046"/>
      <c r="B303" s="1136"/>
      <c r="C303" s="1111"/>
      <c r="D303" s="1111"/>
      <c r="E303" s="1120"/>
      <c r="F303" s="1306"/>
      <c r="G303" s="1111"/>
      <c r="H303" s="728" t="s">
        <v>667</v>
      </c>
      <c r="I303" s="920" t="s">
        <v>355</v>
      </c>
      <c r="J303" s="942">
        <v>8800</v>
      </c>
      <c r="K303" s="957">
        <v>6674</v>
      </c>
      <c r="L303" s="1111"/>
    </row>
    <row r="304" spans="1:12" ht="30.75" customHeight="1" x14ac:dyDescent="0.25">
      <c r="A304" s="1046"/>
      <c r="B304" s="1136"/>
      <c r="C304" s="1111"/>
      <c r="D304" s="1111"/>
      <c r="E304" s="1120"/>
      <c r="F304" s="1306"/>
      <c r="G304" s="1111"/>
      <c r="H304" s="728" t="s">
        <v>668</v>
      </c>
      <c r="I304" s="920" t="s">
        <v>355</v>
      </c>
      <c r="J304" s="942">
        <v>4206</v>
      </c>
      <c r="K304" s="957">
        <f>SUM(K305:K307)</f>
        <v>2700</v>
      </c>
      <c r="L304" s="1111"/>
    </row>
    <row r="305" spans="1:12" ht="31.5" customHeight="1" x14ac:dyDescent="0.25">
      <c r="A305" s="1046"/>
      <c r="B305" s="1136"/>
      <c r="C305" s="1111"/>
      <c r="D305" s="1111"/>
      <c r="E305" s="1120"/>
      <c r="F305" s="1306"/>
      <c r="G305" s="1111"/>
      <c r="H305" s="728" t="s">
        <v>669</v>
      </c>
      <c r="I305" s="920" t="s">
        <v>355</v>
      </c>
      <c r="J305" s="942">
        <v>2758</v>
      </c>
      <c r="K305" s="957">
        <v>1604</v>
      </c>
      <c r="L305" s="1111"/>
    </row>
    <row r="306" spans="1:12" ht="30.75" customHeight="1" x14ac:dyDescent="0.25">
      <c r="A306" s="1046"/>
      <c r="B306" s="1136"/>
      <c r="C306" s="1111"/>
      <c r="D306" s="1111"/>
      <c r="E306" s="1120"/>
      <c r="F306" s="1306"/>
      <c r="G306" s="1111"/>
      <c r="H306" s="728" t="s">
        <v>670</v>
      </c>
      <c r="I306" s="920" t="s">
        <v>355</v>
      </c>
      <c r="J306" s="942">
        <v>568</v>
      </c>
      <c r="K306" s="957">
        <v>436</v>
      </c>
      <c r="L306" s="1111"/>
    </row>
    <row r="307" spans="1:12" ht="41.25" customHeight="1" x14ac:dyDescent="0.25">
      <c r="A307" s="1046"/>
      <c r="B307" s="1136"/>
      <c r="C307" s="1111"/>
      <c r="D307" s="1111"/>
      <c r="E307" s="1120"/>
      <c r="F307" s="1306"/>
      <c r="G307" s="1111"/>
      <c r="H307" s="728" t="s">
        <v>671</v>
      </c>
      <c r="I307" s="920" t="s">
        <v>355</v>
      </c>
      <c r="J307" s="942">
        <v>880</v>
      </c>
      <c r="K307" s="957">
        <v>660</v>
      </c>
      <c r="L307" s="1111"/>
    </row>
    <row r="308" spans="1:12" ht="68.25" customHeight="1" x14ac:dyDescent="0.25">
      <c r="A308" s="1046"/>
      <c r="B308" s="1136"/>
      <c r="C308" s="1111"/>
      <c r="D308" s="1111"/>
      <c r="E308" s="1120"/>
      <c r="F308" s="1306"/>
      <c r="G308" s="1111"/>
      <c r="H308" s="728" t="s">
        <v>659</v>
      </c>
      <c r="I308" s="920" t="s">
        <v>353</v>
      </c>
      <c r="J308" s="942">
        <v>100</v>
      </c>
      <c r="K308" s="957">
        <v>100</v>
      </c>
      <c r="L308" s="1111"/>
    </row>
    <row r="309" spans="1:12" ht="45.75" customHeight="1" thickBot="1" x14ac:dyDescent="0.3">
      <c r="A309" s="1046"/>
      <c r="B309" s="1136"/>
      <c r="C309" s="1111"/>
      <c r="D309" s="1111"/>
      <c r="E309" s="1120"/>
      <c r="F309" s="1306"/>
      <c r="G309" s="1111"/>
      <c r="H309" s="743" t="s">
        <v>672</v>
      </c>
      <c r="I309" s="927" t="s">
        <v>353</v>
      </c>
      <c r="J309" s="928">
        <v>53</v>
      </c>
      <c r="K309" s="929">
        <v>53</v>
      </c>
      <c r="L309" s="1111"/>
    </row>
    <row r="310" spans="1:12" ht="19.5" hidden="1" customHeight="1" x14ac:dyDescent="0.25">
      <c r="A310" s="1202"/>
      <c r="B310" s="1135" t="s">
        <v>673</v>
      </c>
      <c r="C310" s="1041" t="s">
        <v>180</v>
      </c>
      <c r="D310" s="748" t="s">
        <v>225</v>
      </c>
      <c r="E310" s="371">
        <f>E311+E312</f>
        <v>0</v>
      </c>
      <c r="F310" s="341">
        <f>F311+F312</f>
        <v>0</v>
      </c>
      <c r="G310" s="1041" t="s">
        <v>426</v>
      </c>
      <c r="H310" s="1041" t="s">
        <v>532</v>
      </c>
      <c r="I310" s="1041" t="s">
        <v>533</v>
      </c>
      <c r="J310" s="1119">
        <v>0</v>
      </c>
      <c r="K310" s="1121">
        <v>0</v>
      </c>
      <c r="L310" s="994">
        <f>SUM(L311:L312)</f>
        <v>0</v>
      </c>
    </row>
    <row r="311" spans="1:12" ht="19.5" hidden="1" customHeight="1" x14ac:dyDescent="0.25">
      <c r="A311" s="1202"/>
      <c r="B311" s="1136"/>
      <c r="C311" s="1111"/>
      <c r="D311" s="953" t="s">
        <v>283</v>
      </c>
      <c r="E311" s="799">
        <v>0</v>
      </c>
      <c r="F311" s="807">
        <v>0</v>
      </c>
      <c r="G311" s="1111"/>
      <c r="H311" s="1111"/>
      <c r="I311" s="1111"/>
      <c r="J311" s="1120"/>
      <c r="K311" s="1122"/>
      <c r="L311" s="896">
        <v>0</v>
      </c>
    </row>
    <row r="312" spans="1:12" ht="81.75" hidden="1" customHeight="1" thickBot="1" x14ac:dyDescent="0.3">
      <c r="A312" s="1202"/>
      <c r="B312" s="1137"/>
      <c r="C312" s="1042"/>
      <c r="D312" s="749" t="s">
        <v>282</v>
      </c>
      <c r="E312" s="802">
        <v>0</v>
      </c>
      <c r="F312" s="810">
        <v>0</v>
      </c>
      <c r="G312" s="1042"/>
      <c r="H312" s="1042"/>
      <c r="I312" s="1042"/>
      <c r="J312" s="1116"/>
      <c r="K312" s="1123"/>
      <c r="L312" s="995">
        <v>0</v>
      </c>
    </row>
    <row r="313" spans="1:12" ht="19.5" customHeight="1" x14ac:dyDescent="0.25">
      <c r="A313" s="1202"/>
      <c r="B313" s="1135" t="s">
        <v>674</v>
      </c>
      <c r="C313" s="1041" t="s">
        <v>180</v>
      </c>
      <c r="D313" s="748" t="s">
        <v>225</v>
      </c>
      <c r="E313" s="371">
        <f>E314+E315</f>
        <v>6978910.4000000004</v>
      </c>
      <c r="F313" s="341">
        <f>F314+F315</f>
        <v>6978910</v>
      </c>
      <c r="G313" s="1041" t="s">
        <v>426</v>
      </c>
      <c r="H313" s="1041" t="s">
        <v>532</v>
      </c>
      <c r="I313" s="1041" t="s">
        <v>533</v>
      </c>
      <c r="J313" s="1119">
        <v>3.1</v>
      </c>
      <c r="K313" s="1121">
        <v>2.1</v>
      </c>
      <c r="L313" s="994">
        <f>SUM(L314:L315)</f>
        <v>6978910.4000000004</v>
      </c>
    </row>
    <row r="314" spans="1:12" ht="19.5" customHeight="1" x14ac:dyDescent="0.25">
      <c r="A314" s="1202"/>
      <c r="B314" s="1136"/>
      <c r="C314" s="1111"/>
      <c r="D314" s="953" t="s">
        <v>283</v>
      </c>
      <c r="E314" s="799">
        <v>6978910.4000000004</v>
      </c>
      <c r="F314" s="807">
        <v>6978910</v>
      </c>
      <c r="G314" s="1111"/>
      <c r="H314" s="1111"/>
      <c r="I314" s="1111"/>
      <c r="J314" s="1120"/>
      <c r="K314" s="1122"/>
      <c r="L314" s="896">
        <v>6978910.4000000004</v>
      </c>
    </row>
    <row r="315" spans="1:12" ht="19.5" customHeight="1" thickBot="1" x14ac:dyDescent="0.3">
      <c r="A315" s="1202"/>
      <c r="B315" s="1137"/>
      <c r="C315" s="1042"/>
      <c r="D315" s="749" t="s">
        <v>282</v>
      </c>
      <c r="E315" s="802">
        <v>0</v>
      </c>
      <c r="F315" s="810">
        <v>0</v>
      </c>
      <c r="G315" s="1042"/>
      <c r="H315" s="1042"/>
      <c r="I315" s="1042"/>
      <c r="J315" s="1116"/>
      <c r="K315" s="1123"/>
      <c r="L315" s="995">
        <v>0</v>
      </c>
    </row>
    <row r="316" spans="1:12" ht="39.75" customHeight="1" x14ac:dyDescent="0.25">
      <c r="A316" s="1202"/>
      <c r="B316" s="1170" t="s">
        <v>675</v>
      </c>
      <c r="C316" s="1159" t="s">
        <v>180</v>
      </c>
      <c r="D316" s="748" t="s">
        <v>225</v>
      </c>
      <c r="E316" s="371">
        <f>E317+E318</f>
        <v>79531490</v>
      </c>
      <c r="F316" s="341">
        <f>F317+F318</f>
        <v>58110800.030000001</v>
      </c>
      <c r="G316" s="1159" t="s">
        <v>426</v>
      </c>
      <c r="H316" s="1127" t="s">
        <v>676</v>
      </c>
      <c r="I316" s="1041" t="s">
        <v>357</v>
      </c>
      <c r="J316" s="1119">
        <f>SUM(J319:J324)</f>
        <v>251</v>
      </c>
      <c r="K316" s="1121">
        <f>SUM(K319:K324)</f>
        <v>180</v>
      </c>
      <c r="L316" s="994">
        <f>SUM(L317:L318)</f>
        <v>79531490</v>
      </c>
    </row>
    <row r="317" spans="1:12" ht="35.25" customHeight="1" x14ac:dyDescent="0.25">
      <c r="A317" s="1202"/>
      <c r="B317" s="1171"/>
      <c r="C317" s="1160"/>
      <c r="D317" s="953" t="s">
        <v>283</v>
      </c>
      <c r="E317" s="799">
        <v>66474890</v>
      </c>
      <c r="F317" s="807">
        <v>58110800.030000001</v>
      </c>
      <c r="G317" s="1160"/>
      <c r="H317" s="1128"/>
      <c r="I317" s="1111"/>
      <c r="J317" s="1120"/>
      <c r="K317" s="1122"/>
      <c r="L317" s="896">
        <v>66474890</v>
      </c>
    </row>
    <row r="318" spans="1:12" ht="30" customHeight="1" thickBot="1" x14ac:dyDescent="0.3">
      <c r="A318" s="1202"/>
      <c r="B318" s="1171"/>
      <c r="C318" s="1160"/>
      <c r="D318" s="749" t="s">
        <v>282</v>
      </c>
      <c r="E318" s="802">
        <v>13056600</v>
      </c>
      <c r="F318" s="810">
        <v>0</v>
      </c>
      <c r="G318" s="1160"/>
      <c r="H318" s="1141"/>
      <c r="I318" s="1166"/>
      <c r="J318" s="1167"/>
      <c r="K318" s="1184"/>
      <c r="L318" s="996">
        <v>13056600</v>
      </c>
    </row>
    <row r="319" spans="1:12" ht="35.25" customHeight="1" x14ac:dyDescent="0.25">
      <c r="A319" s="1202"/>
      <c r="B319" s="1171"/>
      <c r="C319" s="1160"/>
      <c r="D319" s="1041"/>
      <c r="E319" s="1175"/>
      <c r="F319" s="1178"/>
      <c r="G319" s="1160"/>
      <c r="H319" s="934" t="s">
        <v>526</v>
      </c>
      <c r="I319" s="935" t="s">
        <v>357</v>
      </c>
      <c r="J319" s="942">
        <v>17</v>
      </c>
      <c r="K319" s="957">
        <v>13</v>
      </c>
      <c r="L319" s="1111"/>
    </row>
    <row r="320" spans="1:12" ht="35.25" customHeight="1" x14ac:dyDescent="0.25">
      <c r="A320" s="1202"/>
      <c r="B320" s="1171"/>
      <c r="C320" s="1160"/>
      <c r="D320" s="1111"/>
      <c r="E320" s="1176"/>
      <c r="F320" s="1179"/>
      <c r="G320" s="1160"/>
      <c r="H320" s="934" t="s">
        <v>527</v>
      </c>
      <c r="I320" s="935" t="s">
        <v>357</v>
      </c>
      <c r="J320" s="942">
        <v>145</v>
      </c>
      <c r="K320" s="957">
        <v>90</v>
      </c>
      <c r="L320" s="1111"/>
    </row>
    <row r="321" spans="1:12" ht="35.25" customHeight="1" x14ac:dyDescent="0.25">
      <c r="A321" s="1202"/>
      <c r="B321" s="1171"/>
      <c r="C321" s="1160"/>
      <c r="D321" s="1111"/>
      <c r="E321" s="1176"/>
      <c r="F321" s="1179"/>
      <c r="G321" s="1160"/>
      <c r="H321" s="934" t="s">
        <v>528</v>
      </c>
      <c r="I321" s="935" t="s">
        <v>357</v>
      </c>
      <c r="J321" s="942">
        <v>18</v>
      </c>
      <c r="K321" s="957">
        <v>18</v>
      </c>
      <c r="L321" s="1111"/>
    </row>
    <row r="322" spans="1:12" ht="35.25" customHeight="1" x14ac:dyDescent="0.25">
      <c r="A322" s="1202"/>
      <c r="B322" s="1171"/>
      <c r="C322" s="1160"/>
      <c r="D322" s="1111"/>
      <c r="E322" s="1176"/>
      <c r="F322" s="1179"/>
      <c r="G322" s="1160"/>
      <c r="H322" s="934" t="s">
        <v>529</v>
      </c>
      <c r="I322" s="935" t="s">
        <v>357</v>
      </c>
      <c r="J322" s="942">
        <v>18</v>
      </c>
      <c r="K322" s="957">
        <v>10</v>
      </c>
      <c r="L322" s="1111"/>
    </row>
    <row r="323" spans="1:12" ht="35.25" customHeight="1" x14ac:dyDescent="0.25">
      <c r="A323" s="1202"/>
      <c r="B323" s="1171"/>
      <c r="C323" s="1160"/>
      <c r="D323" s="1111"/>
      <c r="E323" s="1176"/>
      <c r="F323" s="1179"/>
      <c r="G323" s="1160"/>
      <c r="H323" s="934" t="s">
        <v>530</v>
      </c>
      <c r="I323" s="935" t="s">
        <v>357</v>
      </c>
      <c r="J323" s="942">
        <v>3</v>
      </c>
      <c r="K323" s="957">
        <v>3</v>
      </c>
      <c r="L323" s="1111"/>
    </row>
    <row r="324" spans="1:12" ht="35.25" customHeight="1" thickBot="1" x14ac:dyDescent="0.3">
      <c r="A324" s="1202"/>
      <c r="B324" s="1172"/>
      <c r="C324" s="1161"/>
      <c r="D324" s="1042"/>
      <c r="E324" s="1177"/>
      <c r="F324" s="1180"/>
      <c r="G324" s="1161"/>
      <c r="H324" s="730" t="s">
        <v>531</v>
      </c>
      <c r="I324" s="848" t="s">
        <v>357</v>
      </c>
      <c r="J324" s="959">
        <v>50</v>
      </c>
      <c r="K324" s="958">
        <v>46</v>
      </c>
      <c r="L324" s="1042"/>
    </row>
    <row r="325" spans="1:12" ht="18" customHeight="1" x14ac:dyDescent="0.25">
      <c r="A325" s="1202"/>
      <c r="B325" s="1188" t="s">
        <v>677</v>
      </c>
      <c r="C325" s="1041"/>
      <c r="D325" s="734" t="s">
        <v>225</v>
      </c>
      <c r="E325" s="371">
        <f>E326+E327</f>
        <v>23189954.84</v>
      </c>
      <c r="F325" s="371">
        <f>F326+F327</f>
        <v>15417000</v>
      </c>
      <c r="G325" s="1041"/>
      <c r="H325" s="1041"/>
      <c r="I325" s="1129"/>
      <c r="J325" s="1119"/>
      <c r="K325" s="1041"/>
      <c r="L325" s="981">
        <f>L326+L327</f>
        <v>23189954.84</v>
      </c>
    </row>
    <row r="326" spans="1:12" ht="18" customHeight="1" x14ac:dyDescent="0.25">
      <c r="A326" s="1202"/>
      <c r="B326" s="1189"/>
      <c r="C326" s="1111"/>
      <c r="D326" s="934" t="s">
        <v>283</v>
      </c>
      <c r="E326" s="799">
        <f>E329+E336+E342+E345</f>
        <v>23189954.84</v>
      </c>
      <c r="F326" s="799">
        <f>F329+F336+F342+F345</f>
        <v>15417000</v>
      </c>
      <c r="G326" s="1111"/>
      <c r="H326" s="1111"/>
      <c r="I326" s="1130"/>
      <c r="J326" s="1120"/>
      <c r="K326" s="1111"/>
      <c r="L326" s="463">
        <f>L329+L336+L342+L345</f>
        <v>23189954.84</v>
      </c>
    </row>
    <row r="327" spans="1:12" ht="18" customHeight="1" thickBot="1" x14ac:dyDescent="0.3">
      <c r="A327" s="1202"/>
      <c r="B327" s="1190"/>
      <c r="C327" s="1042"/>
      <c r="D327" s="730" t="s">
        <v>282</v>
      </c>
      <c r="E327" s="799">
        <f>E330+E337+E343+E346</f>
        <v>0</v>
      </c>
      <c r="F327" s="799">
        <f>F330+F337+F343+F346</f>
        <v>0</v>
      </c>
      <c r="G327" s="1042"/>
      <c r="H327" s="1042"/>
      <c r="I327" s="1131"/>
      <c r="J327" s="1116"/>
      <c r="K327" s="1042"/>
      <c r="L327" s="983">
        <f>L330+L337+L343+L346</f>
        <v>0</v>
      </c>
    </row>
    <row r="328" spans="1:12" ht="35.25" customHeight="1" x14ac:dyDescent="0.25">
      <c r="A328" s="1202"/>
      <c r="B328" s="1170" t="s">
        <v>618</v>
      </c>
      <c r="C328" s="1159" t="s">
        <v>180</v>
      </c>
      <c r="D328" s="748" t="s">
        <v>225</v>
      </c>
      <c r="E328" s="371">
        <f>E329+E330</f>
        <v>5188197.32</v>
      </c>
      <c r="F328" s="341">
        <f>F329+F330</f>
        <v>3150000</v>
      </c>
      <c r="G328" s="1159" t="s">
        <v>426</v>
      </c>
      <c r="H328" s="1127" t="s">
        <v>678</v>
      </c>
      <c r="I328" s="1041" t="s">
        <v>353</v>
      </c>
      <c r="J328" s="1119">
        <v>200</v>
      </c>
      <c r="K328" s="1121">
        <v>208.5</v>
      </c>
      <c r="L328" s="994">
        <f>SUM(L329:L330)</f>
        <v>5188197.32</v>
      </c>
    </row>
    <row r="329" spans="1:12" ht="35.25" customHeight="1" x14ac:dyDescent="0.25">
      <c r="A329" s="1202"/>
      <c r="B329" s="1171"/>
      <c r="C329" s="1160"/>
      <c r="D329" s="953" t="s">
        <v>283</v>
      </c>
      <c r="E329" s="799">
        <v>5188197.32</v>
      </c>
      <c r="F329" s="807">
        <v>3150000</v>
      </c>
      <c r="G329" s="1160"/>
      <c r="H329" s="1128"/>
      <c r="I329" s="1111"/>
      <c r="J329" s="1120"/>
      <c r="K329" s="1122"/>
      <c r="L329" s="896">
        <v>5188197.32</v>
      </c>
    </row>
    <row r="330" spans="1:12" ht="35.25" customHeight="1" thickBot="1" x14ac:dyDescent="0.3">
      <c r="A330" s="1202"/>
      <c r="B330" s="1171"/>
      <c r="C330" s="1160"/>
      <c r="D330" s="749" t="s">
        <v>282</v>
      </c>
      <c r="E330" s="802">
        <v>0</v>
      </c>
      <c r="F330" s="810">
        <v>0</v>
      </c>
      <c r="G330" s="1160"/>
      <c r="H330" s="1128"/>
      <c r="I330" s="1111"/>
      <c r="J330" s="1120"/>
      <c r="K330" s="1122"/>
      <c r="L330" s="996">
        <v>0</v>
      </c>
    </row>
    <row r="331" spans="1:12" ht="35.25" customHeight="1" x14ac:dyDescent="0.25">
      <c r="A331" s="1202"/>
      <c r="B331" s="1171"/>
      <c r="C331" s="1160"/>
      <c r="D331" s="1041"/>
      <c r="E331" s="1175"/>
      <c r="F331" s="1178"/>
      <c r="G331" s="1160"/>
      <c r="H331" s="1128"/>
      <c r="I331" s="1111"/>
      <c r="J331" s="1120"/>
      <c r="K331" s="1122"/>
      <c r="L331" s="61"/>
    </row>
    <row r="332" spans="1:12" ht="83.25" customHeight="1" x14ac:dyDescent="0.25">
      <c r="A332" s="1202"/>
      <c r="B332" s="1171"/>
      <c r="C332" s="1160"/>
      <c r="D332" s="1111"/>
      <c r="E332" s="1176"/>
      <c r="F332" s="1179"/>
      <c r="G332" s="1160"/>
      <c r="H332" s="1141"/>
      <c r="I332" s="1166"/>
      <c r="J332" s="1167"/>
      <c r="K332" s="1184"/>
      <c r="L332" s="61"/>
    </row>
    <row r="333" spans="1:12" ht="142.5" customHeight="1" x14ac:dyDescent="0.25">
      <c r="A333" s="1202"/>
      <c r="B333" s="1171"/>
      <c r="C333" s="1160"/>
      <c r="D333" s="1111"/>
      <c r="E333" s="1176"/>
      <c r="F333" s="1179"/>
      <c r="G333" s="1160"/>
      <c r="H333" s="934" t="s">
        <v>679</v>
      </c>
      <c r="I333" s="935" t="s">
        <v>353</v>
      </c>
      <c r="J333" s="942">
        <v>100</v>
      </c>
      <c r="K333" s="957">
        <v>107.6</v>
      </c>
      <c r="L333" s="61"/>
    </row>
    <row r="334" spans="1:12" ht="127.5" customHeight="1" thickBot="1" x14ac:dyDescent="0.3">
      <c r="A334" s="1202"/>
      <c r="B334" s="1172"/>
      <c r="C334" s="1161"/>
      <c r="D334" s="1042"/>
      <c r="E334" s="1177"/>
      <c r="F334" s="1180"/>
      <c r="G334" s="1161"/>
      <c r="H334" s="730" t="s">
        <v>680</v>
      </c>
      <c r="I334" s="848" t="s">
        <v>353</v>
      </c>
      <c r="J334" s="959">
        <v>100</v>
      </c>
      <c r="K334" s="958">
        <v>100.5</v>
      </c>
      <c r="L334" s="766"/>
    </row>
    <row r="335" spans="1:12" ht="35.25" customHeight="1" x14ac:dyDescent="0.25">
      <c r="A335" s="1202"/>
      <c r="B335" s="1135" t="s">
        <v>681</v>
      </c>
      <c r="C335" s="1041" t="s">
        <v>180</v>
      </c>
      <c r="D335" s="748" t="s">
        <v>225</v>
      </c>
      <c r="E335" s="371">
        <f>E336+E337</f>
        <v>18001757.52</v>
      </c>
      <c r="F335" s="341">
        <f>F336+F337</f>
        <v>12267000</v>
      </c>
      <c r="G335" s="1041" t="s">
        <v>426</v>
      </c>
      <c r="H335" s="768" t="s">
        <v>682</v>
      </c>
      <c r="I335" s="813" t="s">
        <v>355</v>
      </c>
      <c r="J335" s="916">
        <v>26290</v>
      </c>
      <c r="K335" s="956">
        <v>28051</v>
      </c>
      <c r="L335" s="994">
        <f>SUM(L336:L337)</f>
        <v>18001757.52</v>
      </c>
    </row>
    <row r="336" spans="1:12" ht="35.25" customHeight="1" x14ac:dyDescent="0.25">
      <c r="A336" s="1202"/>
      <c r="B336" s="1136"/>
      <c r="C336" s="1111"/>
      <c r="D336" s="953" t="s">
        <v>283</v>
      </c>
      <c r="E336" s="799">
        <v>18001757.52</v>
      </c>
      <c r="F336" s="807">
        <v>12267000</v>
      </c>
      <c r="G336" s="1111"/>
      <c r="H336" s="934" t="s">
        <v>683</v>
      </c>
      <c r="I336" s="935" t="s">
        <v>355</v>
      </c>
      <c r="J336" s="942">
        <v>1552</v>
      </c>
      <c r="K336" s="957">
        <v>1327</v>
      </c>
      <c r="L336" s="799">
        <v>18001757.52</v>
      </c>
    </row>
    <row r="337" spans="1:12" ht="35.25" customHeight="1" x14ac:dyDescent="0.25">
      <c r="A337" s="1202"/>
      <c r="B337" s="1136"/>
      <c r="C337" s="1111"/>
      <c r="D337" s="774" t="s">
        <v>282</v>
      </c>
      <c r="E337" s="960">
        <v>0</v>
      </c>
      <c r="F337" s="704">
        <v>0</v>
      </c>
      <c r="G337" s="1111"/>
      <c r="H337" s="934" t="s">
        <v>684</v>
      </c>
      <c r="I337" s="935" t="s">
        <v>355</v>
      </c>
      <c r="J337" s="942">
        <v>24738</v>
      </c>
      <c r="K337" s="957">
        <v>26724</v>
      </c>
      <c r="L337" s="960">
        <v>0</v>
      </c>
    </row>
    <row r="338" spans="1:12" ht="35.25" customHeight="1" x14ac:dyDescent="0.25">
      <c r="A338" s="1202"/>
      <c r="B338" s="1136"/>
      <c r="C338" s="1111"/>
      <c r="D338" s="1114"/>
      <c r="E338" s="1381"/>
      <c r="F338" s="1382"/>
      <c r="G338" s="1111"/>
      <c r="H338" s="934" t="s">
        <v>685</v>
      </c>
      <c r="I338" s="935" t="s">
        <v>355</v>
      </c>
      <c r="J338" s="942">
        <v>8550</v>
      </c>
      <c r="K338" s="957">
        <v>7328</v>
      </c>
      <c r="L338" s="1114"/>
    </row>
    <row r="339" spans="1:12" ht="62.25" customHeight="1" x14ac:dyDescent="0.25">
      <c r="A339" s="1202"/>
      <c r="B339" s="1136"/>
      <c r="C339" s="1111"/>
      <c r="D339" s="1111"/>
      <c r="E339" s="1176"/>
      <c r="F339" s="1179"/>
      <c r="G339" s="1111"/>
      <c r="H339" s="934" t="s">
        <v>686</v>
      </c>
      <c r="I339" s="935" t="s">
        <v>353</v>
      </c>
      <c r="J339" s="942">
        <v>100</v>
      </c>
      <c r="K339" s="957">
        <v>100</v>
      </c>
      <c r="L339" s="1111"/>
    </row>
    <row r="340" spans="1:12" ht="43.5" customHeight="1" thickBot="1" x14ac:dyDescent="0.3">
      <c r="A340" s="1202"/>
      <c r="B340" s="1137"/>
      <c r="C340" s="1042"/>
      <c r="D340" s="1042"/>
      <c r="E340" s="1177"/>
      <c r="F340" s="1180"/>
      <c r="G340" s="1042"/>
      <c r="H340" s="730" t="s">
        <v>687</v>
      </c>
      <c r="I340" s="848" t="s">
        <v>353</v>
      </c>
      <c r="J340" s="959">
        <v>53</v>
      </c>
      <c r="K340" s="958">
        <v>53</v>
      </c>
      <c r="L340" s="1042"/>
    </row>
    <row r="341" spans="1:12" ht="35.25" hidden="1" customHeight="1" x14ac:dyDescent="0.25">
      <c r="A341" s="1202"/>
      <c r="B341" s="1170" t="s">
        <v>688</v>
      </c>
      <c r="C341" s="1159" t="s">
        <v>180</v>
      </c>
      <c r="D341" s="748" t="s">
        <v>225</v>
      </c>
      <c r="E341" s="371">
        <f>E342+E343</f>
        <v>0</v>
      </c>
      <c r="F341" s="341">
        <f>F342+F343</f>
        <v>0</v>
      </c>
      <c r="G341" s="1159" t="s">
        <v>426</v>
      </c>
      <c r="H341" s="1127" t="s">
        <v>689</v>
      </c>
      <c r="I341" s="1041" t="s">
        <v>357</v>
      </c>
      <c r="J341" s="1119">
        <v>0</v>
      </c>
      <c r="K341" s="1121">
        <v>0</v>
      </c>
      <c r="L341" s="994">
        <f>SUM(L342:L343)</f>
        <v>0</v>
      </c>
    </row>
    <row r="342" spans="1:12" ht="35.25" hidden="1" customHeight="1" x14ac:dyDescent="0.25">
      <c r="A342" s="1202"/>
      <c r="B342" s="1171"/>
      <c r="C342" s="1160"/>
      <c r="D342" s="953" t="s">
        <v>283</v>
      </c>
      <c r="E342" s="799">
        <v>0</v>
      </c>
      <c r="F342" s="807">
        <v>0</v>
      </c>
      <c r="G342" s="1160"/>
      <c r="H342" s="1141"/>
      <c r="I342" s="1166"/>
      <c r="J342" s="1167"/>
      <c r="K342" s="1184"/>
      <c r="L342" s="896">
        <v>0</v>
      </c>
    </row>
    <row r="343" spans="1:12" ht="69" hidden="1" customHeight="1" thickBot="1" x14ac:dyDescent="0.3">
      <c r="A343" s="1202"/>
      <c r="B343" s="1171"/>
      <c r="C343" s="1160"/>
      <c r="D343" s="749" t="s">
        <v>282</v>
      </c>
      <c r="E343" s="802">
        <v>0</v>
      </c>
      <c r="F343" s="810">
        <v>0</v>
      </c>
      <c r="G343" s="1160"/>
      <c r="H343" s="934" t="s">
        <v>690</v>
      </c>
      <c r="I343" s="935" t="s">
        <v>357</v>
      </c>
      <c r="J343" s="942">
        <v>0</v>
      </c>
      <c r="K343" s="957">
        <v>0</v>
      </c>
      <c r="L343" s="996">
        <v>0</v>
      </c>
    </row>
    <row r="344" spans="1:12" ht="35.25" hidden="1" customHeight="1" x14ac:dyDescent="0.25">
      <c r="A344" s="1202"/>
      <c r="B344" s="1170" t="s">
        <v>691</v>
      </c>
      <c r="C344" s="1159" t="s">
        <v>180</v>
      </c>
      <c r="D344" s="748" t="s">
        <v>225</v>
      </c>
      <c r="E344" s="371">
        <f>E345+E346</f>
        <v>0</v>
      </c>
      <c r="F344" s="341">
        <f>F345+F346</f>
        <v>0</v>
      </c>
      <c r="G344" s="1159" t="s">
        <v>426</v>
      </c>
      <c r="H344" s="1041" t="s">
        <v>692</v>
      </c>
      <c r="I344" s="1041" t="s">
        <v>357</v>
      </c>
      <c r="J344" s="1119">
        <f>SUM(J345:J346)</f>
        <v>0</v>
      </c>
      <c r="K344" s="1121">
        <f>SUM(K345:K346)</f>
        <v>0</v>
      </c>
      <c r="L344" s="994">
        <f>SUM(L345:L346)</f>
        <v>0</v>
      </c>
    </row>
    <row r="345" spans="1:12" ht="35.25" hidden="1" customHeight="1" x14ac:dyDescent="0.25">
      <c r="A345" s="1202"/>
      <c r="B345" s="1171"/>
      <c r="C345" s="1160"/>
      <c r="D345" s="953" t="s">
        <v>283</v>
      </c>
      <c r="E345" s="799">
        <v>0</v>
      </c>
      <c r="F345" s="807">
        <v>0</v>
      </c>
      <c r="G345" s="1160"/>
      <c r="H345" s="1111"/>
      <c r="I345" s="1111"/>
      <c r="J345" s="1120"/>
      <c r="K345" s="1122"/>
      <c r="L345" s="896">
        <v>0</v>
      </c>
    </row>
    <row r="346" spans="1:12" ht="35.25" hidden="1" customHeight="1" thickBot="1" x14ac:dyDescent="0.3">
      <c r="A346" s="1202"/>
      <c r="B346" s="1171"/>
      <c r="C346" s="1160"/>
      <c r="D346" s="749" t="s">
        <v>282</v>
      </c>
      <c r="E346" s="802">
        <v>0</v>
      </c>
      <c r="F346" s="810">
        <v>0</v>
      </c>
      <c r="G346" s="1160"/>
      <c r="H346" s="1042"/>
      <c r="I346" s="1042"/>
      <c r="J346" s="1116"/>
      <c r="K346" s="1123"/>
      <c r="L346" s="996">
        <v>0</v>
      </c>
    </row>
    <row r="347" spans="1:12" ht="18" customHeight="1" x14ac:dyDescent="0.25">
      <c r="A347" s="1202"/>
      <c r="B347" s="1185" t="s">
        <v>863</v>
      </c>
      <c r="C347" s="1041"/>
      <c r="D347" s="734" t="s">
        <v>225</v>
      </c>
      <c r="E347" s="371">
        <f>E348+E349</f>
        <v>22676236.620000001</v>
      </c>
      <c r="F347" s="371">
        <f>F348+F349</f>
        <v>20630577.579999998</v>
      </c>
      <c r="G347" s="1041"/>
      <c r="H347" s="1041"/>
      <c r="I347" s="1129"/>
      <c r="J347" s="1119"/>
      <c r="K347" s="1041"/>
      <c r="L347" s="981">
        <f>L348+L349</f>
        <v>22676236.620000001</v>
      </c>
    </row>
    <row r="348" spans="1:12" ht="18" customHeight="1" x14ac:dyDescent="0.25">
      <c r="A348" s="1202"/>
      <c r="B348" s="1186"/>
      <c r="C348" s="1111"/>
      <c r="D348" s="934" t="s">
        <v>283</v>
      </c>
      <c r="E348" s="799">
        <f>E351+E354+E357+E360+E363+E366</f>
        <v>1587336.62</v>
      </c>
      <c r="F348" s="799">
        <f>F351+F354+F357+F360+F363+F366</f>
        <v>1201836.43</v>
      </c>
      <c r="G348" s="1111"/>
      <c r="H348" s="1111"/>
      <c r="I348" s="1130"/>
      <c r="J348" s="1120"/>
      <c r="K348" s="1111"/>
      <c r="L348" s="463">
        <f>L351+L354+L357+L360+L363+L366</f>
        <v>1587336.62</v>
      </c>
    </row>
    <row r="349" spans="1:12" ht="18" customHeight="1" thickBot="1" x14ac:dyDescent="0.3">
      <c r="A349" s="1202"/>
      <c r="B349" s="1187"/>
      <c r="C349" s="1042"/>
      <c r="D349" s="730" t="s">
        <v>282</v>
      </c>
      <c r="E349" s="799">
        <f>E352+E355+E358+E361+E364+E367</f>
        <v>21088900</v>
      </c>
      <c r="F349" s="799">
        <f>F352+F355+F358+F361+F364+F367</f>
        <v>19428741.149999999</v>
      </c>
      <c r="G349" s="1042"/>
      <c r="H349" s="1042"/>
      <c r="I349" s="1131"/>
      <c r="J349" s="1116"/>
      <c r="K349" s="1042"/>
      <c r="L349" s="983">
        <f>L352+L355+L358+L361+L364+L367</f>
        <v>21088900</v>
      </c>
    </row>
    <row r="350" spans="1:12" ht="35.25" customHeight="1" x14ac:dyDescent="0.25">
      <c r="A350" s="1202"/>
      <c r="B350" s="1412" t="s">
        <v>864</v>
      </c>
      <c r="C350" s="1159" t="s">
        <v>180</v>
      </c>
      <c r="D350" s="748" t="s">
        <v>225</v>
      </c>
      <c r="E350" s="371">
        <f>E351+E352</f>
        <v>0</v>
      </c>
      <c r="F350" s="341">
        <f>F351+F352</f>
        <v>0</v>
      </c>
      <c r="G350" s="1159" t="s">
        <v>426</v>
      </c>
      <c r="H350" s="1127" t="s">
        <v>511</v>
      </c>
      <c r="I350" s="1041" t="s">
        <v>353</v>
      </c>
      <c r="J350" s="1119">
        <f>SUM(J351:J352)</f>
        <v>0</v>
      </c>
      <c r="K350" s="1121">
        <f>SUM(K351:K352)</f>
        <v>0</v>
      </c>
      <c r="L350" s="994">
        <f>SUM(L351:L352)</f>
        <v>0</v>
      </c>
    </row>
    <row r="351" spans="1:12" ht="35.25" customHeight="1" x14ac:dyDescent="0.25">
      <c r="A351" s="1202"/>
      <c r="B351" s="1413"/>
      <c r="C351" s="1160"/>
      <c r="D351" s="953" t="s">
        <v>283</v>
      </c>
      <c r="E351" s="799">
        <v>0</v>
      </c>
      <c r="F351" s="807">
        <v>0</v>
      </c>
      <c r="G351" s="1160"/>
      <c r="H351" s="1128"/>
      <c r="I351" s="1111"/>
      <c r="J351" s="1120"/>
      <c r="K351" s="1122"/>
      <c r="L351" s="896">
        <v>0</v>
      </c>
    </row>
    <row r="352" spans="1:12" ht="68.25" customHeight="1" thickBot="1" x14ac:dyDescent="0.3">
      <c r="A352" s="1202"/>
      <c r="B352" s="1413"/>
      <c r="C352" s="1160"/>
      <c r="D352" s="749" t="s">
        <v>282</v>
      </c>
      <c r="E352" s="802">
        <v>0</v>
      </c>
      <c r="F352" s="810">
        <v>0</v>
      </c>
      <c r="G352" s="1160"/>
      <c r="H352" s="1113"/>
      <c r="I352" s="1042"/>
      <c r="J352" s="1116"/>
      <c r="K352" s="1123"/>
      <c r="L352" s="996">
        <v>0</v>
      </c>
    </row>
    <row r="353" spans="1:13" ht="35.25" customHeight="1" x14ac:dyDescent="0.25">
      <c r="A353" s="1202"/>
      <c r="B353" s="1412" t="s">
        <v>865</v>
      </c>
      <c r="C353" s="1159" t="s">
        <v>180</v>
      </c>
      <c r="D353" s="748" t="s">
        <v>225</v>
      </c>
      <c r="E353" s="371">
        <f>E354+E355</f>
        <v>16056344.1</v>
      </c>
      <c r="F353" s="341">
        <f>F354+F355</f>
        <v>16000303.539999999</v>
      </c>
      <c r="G353" s="1159" t="s">
        <v>426</v>
      </c>
      <c r="H353" s="1127" t="s">
        <v>693</v>
      </c>
      <c r="I353" s="1041" t="s">
        <v>353</v>
      </c>
      <c r="J353" s="1119">
        <v>23</v>
      </c>
      <c r="K353" s="1121">
        <v>19.100000000000001</v>
      </c>
      <c r="L353" s="994">
        <f>SUM(L354:L355)</f>
        <v>16056344.1</v>
      </c>
    </row>
    <row r="354" spans="1:13" ht="35.25" customHeight="1" x14ac:dyDescent="0.25">
      <c r="A354" s="1202"/>
      <c r="B354" s="1413"/>
      <c r="C354" s="1160"/>
      <c r="D354" s="953" t="s">
        <v>283</v>
      </c>
      <c r="E354" s="799">
        <v>1123944.1000000001</v>
      </c>
      <c r="F354" s="807">
        <v>1120021.25</v>
      </c>
      <c r="G354" s="1160"/>
      <c r="H354" s="1128"/>
      <c r="I354" s="1111"/>
      <c r="J354" s="1120"/>
      <c r="K354" s="1122"/>
      <c r="L354" s="896">
        <v>1123944.1000000001</v>
      </c>
    </row>
    <row r="355" spans="1:13" ht="48" customHeight="1" thickBot="1" x14ac:dyDescent="0.3">
      <c r="A355" s="1202"/>
      <c r="B355" s="1413"/>
      <c r="C355" s="1160"/>
      <c r="D355" s="749" t="s">
        <v>282</v>
      </c>
      <c r="E355" s="802">
        <v>14932400</v>
      </c>
      <c r="F355" s="810">
        <v>14880282.289999999</v>
      </c>
      <c r="G355" s="1160"/>
      <c r="H355" s="1113"/>
      <c r="I355" s="1042"/>
      <c r="J355" s="1116"/>
      <c r="K355" s="1123"/>
      <c r="L355" s="996">
        <v>14932400</v>
      </c>
    </row>
    <row r="356" spans="1:13" ht="35.25" hidden="1" customHeight="1" x14ac:dyDescent="0.25">
      <c r="A356" s="1202"/>
      <c r="B356" s="1170" t="s">
        <v>694</v>
      </c>
      <c r="C356" s="1159" t="s">
        <v>180</v>
      </c>
      <c r="D356" s="748" t="s">
        <v>225</v>
      </c>
      <c r="E356" s="371">
        <f>E357+E358</f>
        <v>0</v>
      </c>
      <c r="F356" s="341">
        <f>F357+F358</f>
        <v>0</v>
      </c>
      <c r="G356" s="1159" t="s">
        <v>426</v>
      </c>
      <c r="H356" s="1127" t="s">
        <v>512</v>
      </c>
      <c r="I356" s="1041" t="s">
        <v>353</v>
      </c>
      <c r="J356" s="1119">
        <f>SUM(J357:J358)</f>
        <v>0</v>
      </c>
      <c r="K356" s="1121">
        <f>SUM(K357:K358)</f>
        <v>0</v>
      </c>
      <c r="L356" s="994">
        <f>SUM(L357:L358)</f>
        <v>0</v>
      </c>
    </row>
    <row r="357" spans="1:13" ht="35.25" hidden="1" customHeight="1" x14ac:dyDescent="0.25">
      <c r="A357" s="1202"/>
      <c r="B357" s="1171"/>
      <c r="C357" s="1160"/>
      <c r="D357" s="953" t="s">
        <v>283</v>
      </c>
      <c r="E357" s="799">
        <v>0</v>
      </c>
      <c r="F357" s="807">
        <v>0</v>
      </c>
      <c r="G357" s="1160"/>
      <c r="H357" s="1128"/>
      <c r="I357" s="1111"/>
      <c r="J357" s="1120"/>
      <c r="K357" s="1122"/>
      <c r="L357" s="896">
        <v>0</v>
      </c>
    </row>
    <row r="358" spans="1:13" ht="1.5" customHeight="1" thickBot="1" x14ac:dyDescent="0.3">
      <c r="A358" s="1202"/>
      <c r="B358" s="1171"/>
      <c r="C358" s="1160"/>
      <c r="D358" s="749" t="s">
        <v>282</v>
      </c>
      <c r="E358" s="802">
        <v>0</v>
      </c>
      <c r="F358" s="810">
        <v>0</v>
      </c>
      <c r="G358" s="1160"/>
      <c r="H358" s="1113"/>
      <c r="I358" s="1042"/>
      <c r="J358" s="1116"/>
      <c r="K358" s="1123"/>
      <c r="L358" s="996">
        <v>0</v>
      </c>
    </row>
    <row r="359" spans="1:13" ht="60.75" customHeight="1" x14ac:dyDescent="0.25">
      <c r="A359" s="1202"/>
      <c r="B359" s="1412" t="s">
        <v>866</v>
      </c>
      <c r="C359" s="1159" t="s">
        <v>180</v>
      </c>
      <c r="D359" s="748" t="s">
        <v>225</v>
      </c>
      <c r="E359" s="371">
        <f>E360+E361</f>
        <v>2787419.4</v>
      </c>
      <c r="F359" s="341">
        <f>F360+F361</f>
        <v>1168788.26</v>
      </c>
      <c r="G359" s="1159" t="s">
        <v>426</v>
      </c>
      <c r="H359" s="768" t="s">
        <v>514</v>
      </c>
      <c r="I359" s="813" t="s">
        <v>353</v>
      </c>
      <c r="J359" s="916">
        <v>90</v>
      </c>
      <c r="K359" s="956">
        <v>67.5</v>
      </c>
      <c r="L359" s="994">
        <f>SUM(L360:L361)</f>
        <v>2787419.4</v>
      </c>
    </row>
    <row r="360" spans="1:13" ht="35.25" customHeight="1" x14ac:dyDescent="0.25">
      <c r="A360" s="1202"/>
      <c r="B360" s="1413"/>
      <c r="C360" s="1160"/>
      <c r="D360" s="953" t="s">
        <v>283</v>
      </c>
      <c r="E360" s="799">
        <v>195119.4</v>
      </c>
      <c r="F360" s="807">
        <v>81815.179999999993</v>
      </c>
      <c r="G360" s="1160"/>
      <c r="H360" s="1112" t="s">
        <v>695</v>
      </c>
      <c r="I360" s="1114" t="s">
        <v>359</v>
      </c>
      <c r="J360" s="1115">
        <v>1</v>
      </c>
      <c r="K360" s="1165">
        <v>1</v>
      </c>
      <c r="L360" s="896">
        <v>195119.4</v>
      </c>
    </row>
    <row r="361" spans="1:13" ht="162.75" customHeight="1" thickBot="1" x14ac:dyDescent="0.3">
      <c r="A361" s="1202"/>
      <c r="B361" s="1413"/>
      <c r="C361" s="1160"/>
      <c r="D361" s="749" t="s">
        <v>282</v>
      </c>
      <c r="E361" s="802">
        <v>2592300</v>
      </c>
      <c r="F361" s="810">
        <v>1086973.08</v>
      </c>
      <c r="G361" s="1160"/>
      <c r="H361" s="1113"/>
      <c r="I361" s="1042"/>
      <c r="J361" s="1116"/>
      <c r="K361" s="1123"/>
      <c r="L361" s="996">
        <v>2592300</v>
      </c>
    </row>
    <row r="362" spans="1:13" ht="66" hidden="1" customHeight="1" x14ac:dyDescent="0.25">
      <c r="A362" s="1202"/>
      <c r="B362" s="1412" t="s">
        <v>867</v>
      </c>
      <c r="C362" s="1159" t="s">
        <v>180</v>
      </c>
      <c r="D362" s="748" t="s">
        <v>225</v>
      </c>
      <c r="E362" s="371">
        <f>E363+E364</f>
        <v>0</v>
      </c>
      <c r="F362" s="341">
        <f>F363+F364</f>
        <v>0</v>
      </c>
      <c r="G362" s="1159" t="s">
        <v>426</v>
      </c>
      <c r="H362" s="768" t="s">
        <v>514</v>
      </c>
      <c r="I362" s="813" t="s">
        <v>353</v>
      </c>
      <c r="J362" s="916">
        <v>0</v>
      </c>
      <c r="K362" s="956">
        <v>0</v>
      </c>
      <c r="L362" s="994">
        <f>SUM(L363:L364)</f>
        <v>0</v>
      </c>
    </row>
    <row r="363" spans="1:13" ht="0.75" customHeight="1" x14ac:dyDescent="0.25">
      <c r="A363" s="1202"/>
      <c r="B363" s="1413"/>
      <c r="C363" s="1160"/>
      <c r="D363" s="953" t="s">
        <v>283</v>
      </c>
      <c r="E363" s="799">
        <v>0</v>
      </c>
      <c r="F363" s="807">
        <v>0</v>
      </c>
      <c r="G363" s="1160"/>
      <c r="H363" s="1112" t="s">
        <v>695</v>
      </c>
      <c r="I363" s="1114" t="s">
        <v>359</v>
      </c>
      <c r="J363" s="1115">
        <v>0</v>
      </c>
      <c r="K363" s="1165">
        <v>0</v>
      </c>
      <c r="L363" s="896">
        <v>0</v>
      </c>
    </row>
    <row r="364" spans="1:13" ht="198.75" customHeight="1" thickBot="1" x14ac:dyDescent="0.3">
      <c r="A364" s="1202"/>
      <c r="B364" s="1413"/>
      <c r="C364" s="1160"/>
      <c r="D364" s="749" t="s">
        <v>282</v>
      </c>
      <c r="E364" s="802">
        <v>0</v>
      </c>
      <c r="F364" s="810">
        <v>0</v>
      </c>
      <c r="G364" s="1160"/>
      <c r="H364" s="1113"/>
      <c r="I364" s="1042"/>
      <c r="J364" s="1116"/>
      <c r="K364" s="1123"/>
      <c r="L364" s="996">
        <v>0</v>
      </c>
    </row>
    <row r="365" spans="1:13" ht="35.25" customHeight="1" x14ac:dyDescent="0.25">
      <c r="A365" s="1202"/>
      <c r="B365" s="1412" t="s">
        <v>868</v>
      </c>
      <c r="C365" s="1159" t="s">
        <v>180</v>
      </c>
      <c r="D365" s="748" t="s">
        <v>225</v>
      </c>
      <c r="E365" s="371">
        <f>E366+E367</f>
        <v>3832473.12</v>
      </c>
      <c r="F365" s="341">
        <f>F366+F367</f>
        <v>3461485.78</v>
      </c>
      <c r="G365" s="1159" t="s">
        <v>426</v>
      </c>
      <c r="H365" s="1127" t="s">
        <v>511</v>
      </c>
      <c r="I365" s="1041" t="s">
        <v>353</v>
      </c>
      <c r="J365" s="1119">
        <v>71.900000000000006</v>
      </c>
      <c r="K365" s="1121">
        <v>55.4</v>
      </c>
      <c r="L365" s="994">
        <f>SUM(L366:L367)</f>
        <v>3832473.12</v>
      </c>
    </row>
    <row r="366" spans="1:13" ht="35.25" customHeight="1" x14ac:dyDescent="0.25">
      <c r="A366" s="1202"/>
      <c r="B366" s="1413"/>
      <c r="C366" s="1160"/>
      <c r="D366" s="953" t="s">
        <v>283</v>
      </c>
      <c r="E366" s="799">
        <v>268273.12</v>
      </c>
      <c r="F366" s="807">
        <v>0</v>
      </c>
      <c r="G366" s="1160"/>
      <c r="H366" s="1128"/>
      <c r="I366" s="1111"/>
      <c r="J366" s="1120"/>
      <c r="K366" s="1122"/>
      <c r="L366" s="896">
        <v>268273.12</v>
      </c>
    </row>
    <row r="367" spans="1:13" ht="84.75" customHeight="1" thickBot="1" x14ac:dyDescent="0.3">
      <c r="A367" s="1202"/>
      <c r="B367" s="1413"/>
      <c r="C367" s="1160"/>
      <c r="D367" s="749" t="s">
        <v>282</v>
      </c>
      <c r="E367" s="802">
        <v>3564200</v>
      </c>
      <c r="F367" s="810">
        <v>3461485.78</v>
      </c>
      <c r="G367" s="1160"/>
      <c r="H367" s="1113"/>
      <c r="I367" s="1042"/>
      <c r="J367" s="1116"/>
      <c r="K367" s="1123"/>
      <c r="L367" s="996">
        <v>3564200</v>
      </c>
    </row>
    <row r="368" spans="1:13" ht="18" customHeight="1" x14ac:dyDescent="0.25">
      <c r="A368" s="1202"/>
      <c r="B368" s="1188" t="s">
        <v>696</v>
      </c>
      <c r="C368" s="1041"/>
      <c r="D368" s="734" t="s">
        <v>225</v>
      </c>
      <c r="E368" s="371">
        <f>E369+E370</f>
        <v>130394881.59</v>
      </c>
      <c r="F368" s="801">
        <f>F369+F370</f>
        <v>97695692.689999998</v>
      </c>
      <c r="G368" s="1041"/>
      <c r="H368" s="1041"/>
      <c r="I368" s="1129"/>
      <c r="J368" s="1119"/>
      <c r="K368" s="1041"/>
      <c r="L368" s="981">
        <f>L369+L370</f>
        <v>130394881.59</v>
      </c>
      <c r="M368" s="860"/>
    </row>
    <row r="369" spans="1:12" ht="18" customHeight="1" x14ac:dyDescent="0.25">
      <c r="A369" s="1202"/>
      <c r="B369" s="1189"/>
      <c r="C369" s="1111"/>
      <c r="D369" s="934" t="s">
        <v>283</v>
      </c>
      <c r="E369" s="806">
        <f>E372+E379+E382</f>
        <v>130394881.59</v>
      </c>
      <c r="F369" s="807">
        <f>F372+F379+F382</f>
        <v>97695692.689999998</v>
      </c>
      <c r="G369" s="1111"/>
      <c r="H369" s="1111"/>
      <c r="I369" s="1130"/>
      <c r="J369" s="1120"/>
      <c r="K369" s="1111"/>
      <c r="L369" s="463">
        <f>L372+L379+L382</f>
        <v>130394881.59</v>
      </c>
    </row>
    <row r="370" spans="1:12" ht="18" customHeight="1" thickBot="1" x14ac:dyDescent="0.3">
      <c r="A370" s="1202"/>
      <c r="B370" s="1190"/>
      <c r="C370" s="1042"/>
      <c r="D370" s="730" t="s">
        <v>282</v>
      </c>
      <c r="E370" s="806">
        <f>E373+E380</f>
        <v>0</v>
      </c>
      <c r="F370" s="810">
        <f>F373+F380</f>
        <v>0</v>
      </c>
      <c r="G370" s="1042"/>
      <c r="H370" s="1042"/>
      <c r="I370" s="1131"/>
      <c r="J370" s="1116"/>
      <c r="K370" s="1042"/>
      <c r="L370" s="983">
        <f>L373+L380</f>
        <v>0</v>
      </c>
    </row>
    <row r="371" spans="1:12" ht="35.25" customHeight="1" x14ac:dyDescent="0.25">
      <c r="A371" s="1202"/>
      <c r="B371" s="1170" t="s">
        <v>700</v>
      </c>
      <c r="C371" s="1159" t="s">
        <v>180</v>
      </c>
      <c r="D371" s="748" t="s">
        <v>225</v>
      </c>
      <c r="E371" s="371">
        <f>E372+E373</f>
        <v>10722682.83</v>
      </c>
      <c r="F371" s="341">
        <f>F372+F373</f>
        <v>8042012.1200000001</v>
      </c>
      <c r="G371" s="1159" t="s">
        <v>426</v>
      </c>
      <c r="H371" s="1127" t="s">
        <v>698</v>
      </c>
      <c r="I371" s="1041" t="s">
        <v>353</v>
      </c>
      <c r="J371" s="1119">
        <v>200</v>
      </c>
      <c r="K371" s="1121">
        <v>208.5</v>
      </c>
      <c r="L371" s="994">
        <f>SUM(L372:L373)</f>
        <v>10722682.83</v>
      </c>
    </row>
    <row r="372" spans="1:12" ht="35.25" customHeight="1" x14ac:dyDescent="0.25">
      <c r="A372" s="1202"/>
      <c r="B372" s="1171"/>
      <c r="C372" s="1160"/>
      <c r="D372" s="953" t="s">
        <v>283</v>
      </c>
      <c r="E372" s="799">
        <v>10722682.83</v>
      </c>
      <c r="F372" s="807">
        <v>8042012.1200000001</v>
      </c>
      <c r="G372" s="1160"/>
      <c r="H372" s="1128"/>
      <c r="I372" s="1111"/>
      <c r="J372" s="1120"/>
      <c r="K372" s="1122"/>
      <c r="L372" s="896">
        <v>10722682.83</v>
      </c>
    </row>
    <row r="373" spans="1:12" ht="35.25" customHeight="1" thickBot="1" x14ac:dyDescent="0.3">
      <c r="A373" s="1202"/>
      <c r="B373" s="1171"/>
      <c r="C373" s="1160"/>
      <c r="D373" s="749" t="s">
        <v>282</v>
      </c>
      <c r="E373" s="802">
        <v>0</v>
      </c>
      <c r="F373" s="810">
        <v>0</v>
      </c>
      <c r="G373" s="1160"/>
      <c r="H373" s="1128"/>
      <c r="I373" s="1111"/>
      <c r="J373" s="1120"/>
      <c r="K373" s="1122"/>
      <c r="L373" s="996">
        <v>0</v>
      </c>
    </row>
    <row r="374" spans="1:12" ht="35.25" customHeight="1" x14ac:dyDescent="0.25">
      <c r="A374" s="1202"/>
      <c r="B374" s="1171"/>
      <c r="C374" s="1160"/>
      <c r="D374" s="1041"/>
      <c r="E374" s="1175"/>
      <c r="F374" s="1178"/>
      <c r="G374" s="1160"/>
      <c r="H374" s="1128"/>
      <c r="I374" s="1111"/>
      <c r="J374" s="1120"/>
      <c r="K374" s="1122"/>
      <c r="L374" s="1041"/>
    </row>
    <row r="375" spans="1:12" ht="83.25" customHeight="1" x14ac:dyDescent="0.25">
      <c r="A375" s="1202"/>
      <c r="B375" s="1171"/>
      <c r="C375" s="1160"/>
      <c r="D375" s="1111"/>
      <c r="E375" s="1176"/>
      <c r="F375" s="1179"/>
      <c r="G375" s="1160"/>
      <c r="H375" s="1141"/>
      <c r="I375" s="1166"/>
      <c r="J375" s="1167"/>
      <c r="K375" s="1184"/>
      <c r="L375" s="1111"/>
    </row>
    <row r="376" spans="1:12" ht="142.5" customHeight="1" x14ac:dyDescent="0.25">
      <c r="A376" s="1202"/>
      <c r="B376" s="1171"/>
      <c r="C376" s="1160"/>
      <c r="D376" s="1111"/>
      <c r="E376" s="1176"/>
      <c r="F376" s="1179"/>
      <c r="G376" s="1160"/>
      <c r="H376" s="934" t="s">
        <v>679</v>
      </c>
      <c r="I376" s="935" t="s">
        <v>353</v>
      </c>
      <c r="J376" s="942">
        <v>100</v>
      </c>
      <c r="K376" s="957">
        <v>107.6</v>
      </c>
      <c r="L376" s="1111"/>
    </row>
    <row r="377" spans="1:12" ht="115.5" customHeight="1" thickBot="1" x14ac:dyDescent="0.3">
      <c r="A377" s="1202"/>
      <c r="B377" s="1172"/>
      <c r="C377" s="1161"/>
      <c r="D377" s="1042"/>
      <c r="E377" s="1177"/>
      <c r="F377" s="1180"/>
      <c r="G377" s="1161"/>
      <c r="H377" s="730" t="s">
        <v>680</v>
      </c>
      <c r="I377" s="848" t="s">
        <v>353</v>
      </c>
      <c r="J377" s="959">
        <v>100</v>
      </c>
      <c r="K377" s="958">
        <v>100.5</v>
      </c>
      <c r="L377" s="1042"/>
    </row>
    <row r="378" spans="1:12" ht="35.25" customHeight="1" x14ac:dyDescent="0.25">
      <c r="A378" s="1202"/>
      <c r="B378" s="1170" t="s">
        <v>701</v>
      </c>
      <c r="C378" s="1159" t="s">
        <v>180</v>
      </c>
      <c r="D378" s="748" t="s">
        <v>225</v>
      </c>
      <c r="E378" s="371">
        <f>E379+E380</f>
        <v>111029198.76000001</v>
      </c>
      <c r="F378" s="341">
        <f>F379+F380</f>
        <v>83171430.569999993</v>
      </c>
      <c r="G378" s="1159" t="s">
        <v>426</v>
      </c>
      <c r="H378" s="1127" t="s">
        <v>362</v>
      </c>
      <c r="I378" s="1041" t="s">
        <v>353</v>
      </c>
      <c r="J378" s="1119">
        <v>100</v>
      </c>
      <c r="K378" s="1121">
        <v>100</v>
      </c>
      <c r="L378" s="994">
        <f>SUM(L379:L380)</f>
        <v>111029198.76000001</v>
      </c>
    </row>
    <row r="379" spans="1:12" ht="78" customHeight="1" x14ac:dyDescent="0.25">
      <c r="A379" s="1202"/>
      <c r="B379" s="1171"/>
      <c r="C379" s="1160"/>
      <c r="D379" s="953" t="s">
        <v>283</v>
      </c>
      <c r="E379" s="799">
        <v>111029198.76000001</v>
      </c>
      <c r="F379" s="807">
        <v>83171430.569999993</v>
      </c>
      <c r="G379" s="1160"/>
      <c r="H379" s="1141"/>
      <c r="I379" s="1166"/>
      <c r="J379" s="1167"/>
      <c r="K379" s="1184"/>
      <c r="L379" s="896">
        <v>111029198.76000001</v>
      </c>
    </row>
    <row r="380" spans="1:12" ht="46.5" customHeight="1" thickBot="1" x14ac:dyDescent="0.3">
      <c r="A380" s="1202"/>
      <c r="B380" s="1171"/>
      <c r="C380" s="1160"/>
      <c r="D380" s="749" t="s">
        <v>282</v>
      </c>
      <c r="E380" s="802">
        <v>0</v>
      </c>
      <c r="F380" s="810">
        <v>0</v>
      </c>
      <c r="G380" s="1160"/>
      <c r="H380" s="934" t="s">
        <v>363</v>
      </c>
      <c r="I380" s="935" t="s">
        <v>355</v>
      </c>
      <c r="J380" s="942">
        <v>5000</v>
      </c>
      <c r="K380" s="957">
        <v>3751.4630000000002</v>
      </c>
      <c r="L380" s="996">
        <v>0</v>
      </c>
    </row>
    <row r="381" spans="1:12" ht="35.25" customHeight="1" x14ac:dyDescent="0.25">
      <c r="A381" s="1202"/>
      <c r="B381" s="1170" t="s">
        <v>699</v>
      </c>
      <c r="C381" s="1159" t="s">
        <v>180</v>
      </c>
      <c r="D381" s="748" t="s">
        <v>225</v>
      </c>
      <c r="E381" s="371">
        <f>E382+E383</f>
        <v>8643000</v>
      </c>
      <c r="F381" s="341">
        <f>F382+F383</f>
        <v>6482250</v>
      </c>
      <c r="G381" s="1159" t="s">
        <v>426</v>
      </c>
      <c r="H381" s="1127" t="s">
        <v>364</v>
      </c>
      <c r="I381" s="1041" t="s">
        <v>365</v>
      </c>
      <c r="J381" s="1119">
        <v>12.8</v>
      </c>
      <c r="K381" s="1121">
        <v>10.029999999999999</v>
      </c>
      <c r="L381" s="994">
        <f>SUM(L382:L383)</f>
        <v>8643000</v>
      </c>
    </row>
    <row r="382" spans="1:12" ht="35.25" customHeight="1" x14ac:dyDescent="0.25">
      <c r="A382" s="1202"/>
      <c r="B382" s="1171"/>
      <c r="C382" s="1160"/>
      <c r="D382" s="953" t="s">
        <v>283</v>
      </c>
      <c r="E382" s="799">
        <v>8643000</v>
      </c>
      <c r="F382" s="807">
        <v>6482250</v>
      </c>
      <c r="G382" s="1160"/>
      <c r="H382" s="1128"/>
      <c r="I382" s="1111"/>
      <c r="J382" s="1120"/>
      <c r="K382" s="1122"/>
      <c r="L382" s="896">
        <v>8643000</v>
      </c>
    </row>
    <row r="383" spans="1:12" ht="35.25" customHeight="1" thickBot="1" x14ac:dyDescent="0.3">
      <c r="A383" s="1202"/>
      <c r="B383" s="1172"/>
      <c r="C383" s="1161"/>
      <c r="D383" s="749" t="s">
        <v>282</v>
      </c>
      <c r="E383" s="802">
        <v>0</v>
      </c>
      <c r="F383" s="810">
        <v>0</v>
      </c>
      <c r="G383" s="1161"/>
      <c r="H383" s="1113"/>
      <c r="I383" s="1042"/>
      <c r="J383" s="1116"/>
      <c r="K383" s="1123"/>
      <c r="L383" s="996">
        <v>0</v>
      </c>
    </row>
    <row r="384" spans="1:12" ht="16.5" customHeight="1" x14ac:dyDescent="0.25">
      <c r="A384" s="1009"/>
      <c r="B384" s="1185" t="s">
        <v>869</v>
      </c>
      <c r="C384" s="1045" t="s">
        <v>180</v>
      </c>
      <c r="D384" s="1016" t="s">
        <v>225</v>
      </c>
      <c r="E384" s="1419">
        <f>E385+E386</f>
        <v>0</v>
      </c>
      <c r="F384" s="1418">
        <f>F385+F386</f>
        <v>0</v>
      </c>
      <c r="G384" s="1041"/>
      <c r="H384" s="1041"/>
      <c r="I384" s="1041"/>
      <c r="J384" s="1121"/>
      <c r="K384" s="1121"/>
      <c r="L384" s="1424">
        <f>L385+L386</f>
        <v>0</v>
      </c>
    </row>
    <row r="385" spans="1:12" ht="15" customHeight="1" x14ac:dyDescent="0.25">
      <c r="A385" s="1009"/>
      <c r="B385" s="1186"/>
      <c r="C385" s="1046"/>
      <c r="D385" s="1013" t="s">
        <v>283</v>
      </c>
      <c r="E385" s="1021">
        <v>0</v>
      </c>
      <c r="F385" s="80">
        <v>0</v>
      </c>
      <c r="G385" s="1111"/>
      <c r="H385" s="1111"/>
      <c r="I385" s="1111"/>
      <c r="J385" s="1122"/>
      <c r="K385" s="1122"/>
      <c r="L385" s="1018">
        <v>0</v>
      </c>
    </row>
    <row r="386" spans="1:12" ht="17.25" customHeight="1" thickBot="1" x14ac:dyDescent="0.3">
      <c r="A386" s="1009"/>
      <c r="B386" s="1187"/>
      <c r="C386" s="1047"/>
      <c r="D386" s="730" t="s">
        <v>282</v>
      </c>
      <c r="E386" s="802">
        <v>0</v>
      </c>
      <c r="F386" s="810">
        <v>0</v>
      </c>
      <c r="G386" s="1042"/>
      <c r="H386" s="1042"/>
      <c r="I386" s="1042"/>
      <c r="J386" s="1123"/>
      <c r="K386" s="1123"/>
      <c r="L386" s="996">
        <v>0</v>
      </c>
    </row>
    <row r="387" spans="1:12" ht="35.25" customHeight="1" x14ac:dyDescent="0.25">
      <c r="A387" s="1009"/>
      <c r="B387" s="1390" t="s">
        <v>870</v>
      </c>
      <c r="C387" s="1041" t="s">
        <v>180</v>
      </c>
      <c r="D387" s="1012" t="s">
        <v>225</v>
      </c>
      <c r="E387" s="1023">
        <f>E388+E389</f>
        <v>0</v>
      </c>
      <c r="F387" s="80">
        <f>F388+F389</f>
        <v>0</v>
      </c>
      <c r="G387" s="1041" t="s">
        <v>426</v>
      </c>
      <c r="H387" s="1127" t="s">
        <v>871</v>
      </c>
      <c r="I387" s="1041" t="s">
        <v>872</v>
      </c>
      <c r="J387" s="1425" t="s">
        <v>873</v>
      </c>
      <c r="K387" s="1425">
        <v>0.19500000000000001</v>
      </c>
      <c r="L387" s="1020">
        <f>L388+L389</f>
        <v>0</v>
      </c>
    </row>
    <row r="388" spans="1:12" ht="35.25" customHeight="1" x14ac:dyDescent="0.25">
      <c r="A388" s="1009"/>
      <c r="B388" s="1168"/>
      <c r="C388" s="1111"/>
      <c r="D388" s="1017" t="s">
        <v>283</v>
      </c>
      <c r="E388" s="1022">
        <v>0</v>
      </c>
      <c r="F388" s="704">
        <v>0</v>
      </c>
      <c r="G388" s="1111"/>
      <c r="H388" s="1128"/>
      <c r="I388" s="1111"/>
      <c r="J388" s="1426"/>
      <c r="K388" s="1426"/>
      <c r="L388" s="1018">
        <v>0</v>
      </c>
    </row>
    <row r="389" spans="1:12" ht="35.25" customHeight="1" thickBot="1" x14ac:dyDescent="0.3">
      <c r="A389" s="1005"/>
      <c r="B389" s="1169"/>
      <c r="C389" s="1042"/>
      <c r="D389" s="730" t="s">
        <v>282</v>
      </c>
      <c r="E389" s="802">
        <v>0</v>
      </c>
      <c r="F389" s="810">
        <v>0</v>
      </c>
      <c r="G389" s="1042"/>
      <c r="H389" s="1113"/>
      <c r="I389" s="1042"/>
      <c r="J389" s="1427"/>
      <c r="K389" s="1427"/>
      <c r="L389" s="996">
        <v>0</v>
      </c>
    </row>
    <row r="390" spans="1:12" s="1" customFormat="1" x14ac:dyDescent="0.25">
      <c r="A390" s="1045"/>
      <c r="B390" s="1188" t="s">
        <v>77</v>
      </c>
      <c r="C390" s="1045" t="s">
        <v>180</v>
      </c>
      <c r="D390" s="734" t="s">
        <v>225</v>
      </c>
      <c r="E390" s="371">
        <f>E391+E392</f>
        <v>80460200</v>
      </c>
      <c r="F390" s="801">
        <f>F391+F392</f>
        <v>49882500</v>
      </c>
      <c r="G390" s="1045"/>
      <c r="H390" s="1045"/>
      <c r="I390" s="1045"/>
      <c r="J390" s="1194"/>
      <c r="K390" s="1045"/>
      <c r="L390" s="981">
        <f>L391+L392</f>
        <v>66510200</v>
      </c>
    </row>
    <row r="391" spans="1:12" s="1" customFormat="1" x14ac:dyDescent="0.25">
      <c r="A391" s="1046"/>
      <c r="B391" s="1189"/>
      <c r="C391" s="1046"/>
      <c r="D391" s="727" t="s">
        <v>283</v>
      </c>
      <c r="E391" s="770">
        <f>E394</f>
        <v>80460200</v>
      </c>
      <c r="F391" s="803">
        <f>F394</f>
        <v>49882500</v>
      </c>
      <c r="G391" s="1046"/>
      <c r="H391" s="1046"/>
      <c r="I391" s="1046"/>
      <c r="J391" s="1195"/>
      <c r="K391" s="1046"/>
      <c r="L391" s="988">
        <f>L394</f>
        <v>66510200</v>
      </c>
    </row>
    <row r="392" spans="1:12" s="1" customFormat="1" ht="15.75" thickBot="1" x14ac:dyDescent="0.3">
      <c r="A392" s="1046"/>
      <c r="B392" s="1190"/>
      <c r="C392" s="1047"/>
      <c r="D392" s="771" t="s">
        <v>282</v>
      </c>
      <c r="E392" s="849">
        <f>E395</f>
        <v>0</v>
      </c>
      <c r="F392" s="804">
        <f>F395</f>
        <v>0</v>
      </c>
      <c r="G392" s="1047"/>
      <c r="H392" s="1047"/>
      <c r="I392" s="1047"/>
      <c r="J392" s="1196"/>
      <c r="K392" s="1047"/>
      <c r="L392" s="997">
        <f>L395</f>
        <v>0</v>
      </c>
    </row>
    <row r="393" spans="1:12" x14ac:dyDescent="0.25">
      <c r="A393" s="1046"/>
      <c r="B393" s="1188" t="s">
        <v>702</v>
      </c>
      <c r="C393" s="1041"/>
      <c r="D393" s="734" t="s">
        <v>225</v>
      </c>
      <c r="E393" s="371">
        <f>E394+E395</f>
        <v>80460200</v>
      </c>
      <c r="F393" s="801">
        <f>F394+F395</f>
        <v>49882500</v>
      </c>
      <c r="G393" s="1041"/>
      <c r="H393" s="1041"/>
      <c r="I393" s="1041"/>
      <c r="J393" s="1119"/>
      <c r="K393" s="1041"/>
      <c r="L393" s="979">
        <f>L394+L395</f>
        <v>66510200</v>
      </c>
    </row>
    <row r="394" spans="1:12" x14ac:dyDescent="0.25">
      <c r="A394" s="1046"/>
      <c r="B394" s="1189"/>
      <c r="C394" s="1111"/>
      <c r="D394" s="934" t="s">
        <v>283</v>
      </c>
      <c r="E394" s="799">
        <f>E397+E400+E410</f>
        <v>80460200</v>
      </c>
      <c r="F394" s="805">
        <f>F397+F400+F410</f>
        <v>49882500</v>
      </c>
      <c r="G394" s="1111"/>
      <c r="H394" s="1111"/>
      <c r="I394" s="1111"/>
      <c r="J394" s="1120"/>
      <c r="K394" s="1111"/>
      <c r="L394" s="808">
        <f>L397+L400+L410</f>
        <v>66510200</v>
      </c>
    </row>
    <row r="395" spans="1:12" ht="15.75" thickBot="1" x14ac:dyDescent="0.3">
      <c r="A395" s="1046"/>
      <c r="B395" s="1190"/>
      <c r="C395" s="1042"/>
      <c r="D395" s="730" t="s">
        <v>282</v>
      </c>
      <c r="E395" s="799">
        <f t="shared" ref="E395:F395" si="0">E398+E401+E404</f>
        <v>0</v>
      </c>
      <c r="F395" s="805">
        <f t="shared" si="0"/>
        <v>0</v>
      </c>
      <c r="G395" s="1042"/>
      <c r="H395" s="1042"/>
      <c r="I395" s="1042"/>
      <c r="J395" s="1116"/>
      <c r="K395" s="1042"/>
      <c r="L395" s="982">
        <f>L398+L401+L404</f>
        <v>0</v>
      </c>
    </row>
    <row r="396" spans="1:12" ht="56.25" customHeight="1" x14ac:dyDescent="0.25">
      <c r="A396" s="1046"/>
      <c r="B396" s="1136" t="s">
        <v>703</v>
      </c>
      <c r="C396" s="1041" t="s">
        <v>180</v>
      </c>
      <c r="D396" s="946" t="s">
        <v>225</v>
      </c>
      <c r="E396" s="846">
        <f>E397+E398</f>
        <v>0</v>
      </c>
      <c r="F396" s="847">
        <f>F397+F398</f>
        <v>0</v>
      </c>
      <c r="G396" s="1041" t="s">
        <v>426</v>
      </c>
      <c r="H396" s="767" t="s">
        <v>704</v>
      </c>
      <c r="I396" s="923" t="s">
        <v>360</v>
      </c>
      <c r="J396" s="924">
        <v>0</v>
      </c>
      <c r="K396" s="932">
        <v>0</v>
      </c>
      <c r="L396" s="990">
        <f>L397+L398</f>
        <v>0</v>
      </c>
    </row>
    <row r="397" spans="1:12" ht="51.75" customHeight="1" x14ac:dyDescent="0.25">
      <c r="A397" s="1046"/>
      <c r="B397" s="1136"/>
      <c r="C397" s="1111"/>
      <c r="D397" s="934" t="s">
        <v>283</v>
      </c>
      <c r="E397" s="806">
        <v>0</v>
      </c>
      <c r="F397" s="807">
        <v>0</v>
      </c>
      <c r="G397" s="1111"/>
      <c r="H397" s="1112" t="s">
        <v>705</v>
      </c>
      <c r="I397" s="1114" t="s">
        <v>361</v>
      </c>
      <c r="J397" s="1115">
        <v>0</v>
      </c>
      <c r="K397" s="1165">
        <v>0</v>
      </c>
      <c r="L397" s="808">
        <v>0</v>
      </c>
    </row>
    <row r="398" spans="1:12" ht="51.75" customHeight="1" thickBot="1" x14ac:dyDescent="0.3">
      <c r="A398" s="1046"/>
      <c r="B398" s="1137"/>
      <c r="C398" s="1042"/>
      <c r="D398" s="730" t="s">
        <v>282</v>
      </c>
      <c r="E398" s="809">
        <v>0</v>
      </c>
      <c r="F398" s="810">
        <v>0</v>
      </c>
      <c r="G398" s="1042"/>
      <c r="H398" s="1113"/>
      <c r="I398" s="1042"/>
      <c r="J398" s="1116"/>
      <c r="K398" s="1123"/>
      <c r="L398" s="982">
        <v>0</v>
      </c>
    </row>
    <row r="399" spans="1:12" ht="56.25" customHeight="1" x14ac:dyDescent="0.25">
      <c r="A399" s="1046"/>
      <c r="B399" s="1136" t="s">
        <v>706</v>
      </c>
      <c r="C399" s="1041" t="s">
        <v>180</v>
      </c>
      <c r="D399" s="946" t="s">
        <v>225</v>
      </c>
      <c r="E399" s="371">
        <f>E400+E401</f>
        <v>66510200</v>
      </c>
      <c r="F399" s="847">
        <f>F400+F401</f>
        <v>49882500</v>
      </c>
      <c r="G399" s="1041" t="s">
        <v>426</v>
      </c>
      <c r="H399" s="767" t="s">
        <v>704</v>
      </c>
      <c r="I399" s="923" t="s">
        <v>360</v>
      </c>
      <c r="J399" s="924">
        <v>56700</v>
      </c>
      <c r="K399" s="932">
        <v>37006</v>
      </c>
      <c r="L399" s="990">
        <f>L400+L401</f>
        <v>66510200</v>
      </c>
    </row>
    <row r="400" spans="1:12" ht="56.25" customHeight="1" x14ac:dyDescent="0.25">
      <c r="A400" s="1046"/>
      <c r="B400" s="1136"/>
      <c r="C400" s="1111"/>
      <c r="D400" s="934" t="s">
        <v>283</v>
      </c>
      <c r="E400" s="806">
        <v>66510200</v>
      </c>
      <c r="F400" s="807">
        <v>49882500</v>
      </c>
      <c r="G400" s="1111"/>
      <c r="H400" s="1112" t="s">
        <v>705</v>
      </c>
      <c r="I400" s="1114" t="s">
        <v>361</v>
      </c>
      <c r="J400" s="1115">
        <v>8350</v>
      </c>
      <c r="K400" s="1165">
        <v>5540</v>
      </c>
      <c r="L400" s="808">
        <v>66510200</v>
      </c>
    </row>
    <row r="401" spans="1:13" ht="56.25" customHeight="1" thickBot="1" x14ac:dyDescent="0.3">
      <c r="A401" s="1047"/>
      <c r="B401" s="1137"/>
      <c r="C401" s="1042"/>
      <c r="D401" s="730" t="s">
        <v>282</v>
      </c>
      <c r="E401" s="809">
        <f>0</f>
        <v>0</v>
      </c>
      <c r="F401" s="810">
        <v>0</v>
      </c>
      <c r="G401" s="1042"/>
      <c r="H401" s="1113"/>
      <c r="I401" s="1042"/>
      <c r="J401" s="1116"/>
      <c r="K401" s="1123"/>
      <c r="L401" s="982">
        <v>0</v>
      </c>
    </row>
    <row r="402" spans="1:13" ht="75" customHeight="1" x14ac:dyDescent="0.25">
      <c r="A402" s="915"/>
      <c r="B402" s="1136" t="s">
        <v>707</v>
      </c>
      <c r="C402" s="1041" t="s">
        <v>180</v>
      </c>
      <c r="D402" s="946" t="s">
        <v>225</v>
      </c>
      <c r="E402" s="846">
        <f>E403+E404</f>
        <v>0</v>
      </c>
      <c r="F402" s="847">
        <f>F403+F404</f>
        <v>0</v>
      </c>
      <c r="G402" s="1041" t="s">
        <v>426</v>
      </c>
      <c r="H402" s="767" t="s">
        <v>708</v>
      </c>
      <c r="I402" s="923" t="s">
        <v>353</v>
      </c>
      <c r="J402" s="924">
        <v>0</v>
      </c>
      <c r="K402" s="932">
        <v>0</v>
      </c>
      <c r="L402" s="990">
        <f>L403+L404</f>
        <v>0</v>
      </c>
    </row>
    <row r="403" spans="1:13" ht="68.25" customHeight="1" x14ac:dyDescent="0.25">
      <c r="A403" s="915"/>
      <c r="B403" s="1136"/>
      <c r="C403" s="1111"/>
      <c r="D403" s="934" t="s">
        <v>283</v>
      </c>
      <c r="E403" s="806">
        <v>0</v>
      </c>
      <c r="F403" s="807">
        <v>0</v>
      </c>
      <c r="G403" s="1111"/>
      <c r="H403" s="728" t="s">
        <v>709</v>
      </c>
      <c r="I403" s="920" t="s">
        <v>353</v>
      </c>
      <c r="J403" s="942">
        <v>0</v>
      </c>
      <c r="K403" s="957">
        <v>0</v>
      </c>
      <c r="L403" s="808">
        <v>0</v>
      </c>
    </row>
    <row r="404" spans="1:13" ht="56.25" customHeight="1" thickBot="1" x14ac:dyDescent="0.3">
      <c r="A404" s="915"/>
      <c r="B404" s="1137"/>
      <c r="C404" s="1042"/>
      <c r="D404" s="730" t="s">
        <v>282</v>
      </c>
      <c r="E404" s="809">
        <v>0</v>
      </c>
      <c r="F404" s="810">
        <v>0</v>
      </c>
      <c r="G404" s="1042"/>
      <c r="H404" s="766" t="s">
        <v>710</v>
      </c>
      <c r="I404" s="907" t="s">
        <v>353</v>
      </c>
      <c r="J404" s="918">
        <v>0</v>
      </c>
      <c r="K404" s="930">
        <v>0</v>
      </c>
      <c r="L404" s="982">
        <v>0</v>
      </c>
    </row>
    <row r="405" spans="1:13" ht="56.25" customHeight="1" x14ac:dyDescent="0.25">
      <c r="A405" s="1009"/>
      <c r="B405" s="1390" t="s">
        <v>874</v>
      </c>
      <c r="C405" s="1041" t="s">
        <v>180</v>
      </c>
      <c r="D405" s="734" t="s">
        <v>225</v>
      </c>
      <c r="E405" s="830">
        <f>E406+E407</f>
        <v>33912365.600000001</v>
      </c>
      <c r="F405" s="1418">
        <f>F406+F407</f>
        <v>3255855.46</v>
      </c>
      <c r="G405" s="1041" t="s">
        <v>426</v>
      </c>
      <c r="H405" s="654" t="s">
        <v>711</v>
      </c>
      <c r="I405" s="1010" t="s">
        <v>875</v>
      </c>
      <c r="J405" s="1430">
        <v>0.16200000000000001</v>
      </c>
      <c r="K405" s="1422">
        <v>16.100000000000001</v>
      </c>
      <c r="L405" s="1431">
        <f>L406+L407</f>
        <v>48912365.600000001</v>
      </c>
    </row>
    <row r="406" spans="1:13" ht="76.5" customHeight="1" x14ac:dyDescent="0.25">
      <c r="A406" s="1009"/>
      <c r="B406" s="1168"/>
      <c r="C406" s="1111"/>
      <c r="D406" s="1015" t="s">
        <v>283</v>
      </c>
      <c r="E406" s="851">
        <v>2373865.6</v>
      </c>
      <c r="F406" s="807">
        <v>3255855.46</v>
      </c>
      <c r="G406" s="1111"/>
      <c r="H406" s="728" t="s">
        <v>712</v>
      </c>
      <c r="I406" s="1011" t="s">
        <v>876</v>
      </c>
      <c r="J406" s="1025">
        <v>8.35</v>
      </c>
      <c r="K406" s="1432">
        <v>6.569</v>
      </c>
      <c r="L406" s="1433">
        <v>3423865.6</v>
      </c>
    </row>
    <row r="407" spans="1:13" ht="99.75" customHeight="1" thickBot="1" x14ac:dyDescent="0.3">
      <c r="A407" s="1009"/>
      <c r="B407" s="1428"/>
      <c r="C407" s="1166"/>
      <c r="D407" s="1015" t="s">
        <v>282</v>
      </c>
      <c r="E407" s="806">
        <v>31538500</v>
      </c>
      <c r="F407" s="807">
        <v>0</v>
      </c>
      <c r="G407" s="1166"/>
      <c r="H407" s="728" t="s">
        <v>713</v>
      </c>
      <c r="I407" s="1011" t="s">
        <v>877</v>
      </c>
      <c r="J407" s="1025">
        <v>4</v>
      </c>
      <c r="K407" s="1432">
        <v>46.1</v>
      </c>
      <c r="L407" s="1433">
        <v>45488500</v>
      </c>
    </row>
    <row r="408" spans="1:13" ht="47.25" customHeight="1" x14ac:dyDescent="0.25">
      <c r="A408" s="915"/>
      <c r="B408" s="1168" t="s">
        <v>878</v>
      </c>
      <c r="C408" s="1041" t="s">
        <v>180</v>
      </c>
      <c r="D408" s="946" t="s">
        <v>225</v>
      </c>
      <c r="E408" s="846">
        <f>E409+E410</f>
        <v>15000000</v>
      </c>
      <c r="F408" s="847">
        <f>F409+F410</f>
        <v>3255855.46</v>
      </c>
      <c r="G408" s="1041" t="s">
        <v>426</v>
      </c>
      <c r="H408" s="1112" t="s">
        <v>879</v>
      </c>
      <c r="I408" s="1114" t="s">
        <v>877</v>
      </c>
      <c r="J408" s="1429">
        <v>100</v>
      </c>
      <c r="K408" s="1429">
        <v>42.34</v>
      </c>
      <c r="L408" s="1434"/>
    </row>
    <row r="409" spans="1:13" ht="40.5" customHeight="1" x14ac:dyDescent="0.25">
      <c r="A409" s="1009"/>
      <c r="B409" s="1168"/>
      <c r="C409" s="1111"/>
      <c r="D409" s="1012" t="s">
        <v>283</v>
      </c>
      <c r="E409" s="836">
        <v>1050000</v>
      </c>
      <c r="F409" s="465">
        <v>3255855.46</v>
      </c>
      <c r="G409" s="1111"/>
      <c r="H409" s="1128"/>
      <c r="I409" s="1111"/>
      <c r="J409" s="1426"/>
      <c r="K409" s="1426"/>
      <c r="L409" s="1435"/>
    </row>
    <row r="410" spans="1:13" ht="54.75" customHeight="1" thickBot="1" x14ac:dyDescent="0.3">
      <c r="A410" s="915"/>
      <c r="B410" s="1168"/>
      <c r="C410" s="1111"/>
      <c r="D410" s="1015" t="s">
        <v>282</v>
      </c>
      <c r="E410" s="806">
        <v>13950000</v>
      </c>
      <c r="F410" s="807">
        <v>0</v>
      </c>
      <c r="G410" s="1111"/>
      <c r="H410" s="1128"/>
      <c r="I410" s="1042"/>
      <c r="J410" s="1427"/>
      <c r="K410" s="1426"/>
      <c r="L410" s="1436"/>
    </row>
    <row r="411" spans="1:13" ht="15" customHeight="1" x14ac:dyDescent="0.25">
      <c r="A411" s="1201"/>
      <c r="B411" s="1188" t="s">
        <v>81</v>
      </c>
      <c r="C411" s="1045" t="s">
        <v>180</v>
      </c>
      <c r="D411" s="734" t="s">
        <v>225</v>
      </c>
      <c r="E411" s="371">
        <f>E412+E413+E414</f>
        <v>149962836.44</v>
      </c>
      <c r="F411" s="801">
        <f>F412+F413+F414</f>
        <v>102737557.85000001</v>
      </c>
      <c r="G411" s="1045"/>
      <c r="H411" s="1045"/>
      <c r="I411" s="1157"/>
      <c r="J411" s="1173"/>
      <c r="K411" s="1045"/>
      <c r="L411" s="981">
        <f>L412+L413+L414</f>
        <v>149923836.44</v>
      </c>
      <c r="M411" s="860"/>
    </row>
    <row r="412" spans="1:13" x14ac:dyDescent="0.25">
      <c r="A412" s="1202"/>
      <c r="B412" s="1189"/>
      <c r="C412" s="1046"/>
      <c r="D412" s="727" t="s">
        <v>283</v>
      </c>
      <c r="E412" s="770">
        <f>E416+E457+E463+E470+E476+E487+E493</f>
        <v>147946036.44</v>
      </c>
      <c r="F412" s="803">
        <f>F416+F457+F463+F470+F476+F487+F493</f>
        <v>101425784.67</v>
      </c>
      <c r="G412" s="1046"/>
      <c r="H412" s="1046"/>
      <c r="I412" s="1157"/>
      <c r="J412" s="1173"/>
      <c r="K412" s="1046"/>
      <c r="L412" s="988">
        <f>L416+L457+L463+L470+L476+L487+L493</f>
        <v>147907036.44</v>
      </c>
    </row>
    <row r="413" spans="1:13" x14ac:dyDescent="0.25">
      <c r="A413" s="1202"/>
      <c r="B413" s="1189"/>
      <c r="C413" s="1046"/>
      <c r="D413" s="945" t="s">
        <v>282</v>
      </c>
      <c r="E413" s="850">
        <f>E458+E464+E471+E477+E488+E494</f>
        <v>2016800</v>
      </c>
      <c r="F413" s="891">
        <f>F458+F464+F471+F477+F488+F494</f>
        <v>1311773.18</v>
      </c>
      <c r="G413" s="1046"/>
      <c r="H413" s="1046"/>
      <c r="I413" s="1157"/>
      <c r="J413" s="1173"/>
      <c r="K413" s="1046"/>
      <c r="L413" s="998">
        <f>L458+L464+L471+L477+L488+L494</f>
        <v>2016800</v>
      </c>
    </row>
    <row r="414" spans="1:13" ht="15.75" thickBot="1" x14ac:dyDescent="0.3">
      <c r="A414" s="1202"/>
      <c r="B414" s="1190"/>
      <c r="C414" s="1047"/>
      <c r="D414" s="771" t="s">
        <v>281</v>
      </c>
      <c r="E414" s="849">
        <f>E417</f>
        <v>0</v>
      </c>
      <c r="F414" s="804">
        <f>F417</f>
        <v>0</v>
      </c>
      <c r="G414" s="1047"/>
      <c r="H414" s="1047"/>
      <c r="I414" s="1158"/>
      <c r="J414" s="1174"/>
      <c r="K414" s="1047"/>
      <c r="L414" s="997">
        <f>L417</f>
        <v>0</v>
      </c>
    </row>
    <row r="415" spans="1:13" ht="23.25" customHeight="1" x14ac:dyDescent="0.25">
      <c r="A415" s="1202"/>
      <c r="B415" s="1188" t="s">
        <v>714</v>
      </c>
      <c r="C415" s="1041"/>
      <c r="D415" s="734" t="s">
        <v>225</v>
      </c>
      <c r="E415" s="371">
        <f>E416+E417</f>
        <v>56446759.399999999</v>
      </c>
      <c r="F415" s="801">
        <f>F416+F417</f>
        <v>37190408.329999998</v>
      </c>
      <c r="G415" s="1041"/>
      <c r="H415" s="1041"/>
      <c r="I415" s="1041"/>
      <c r="J415" s="1119"/>
      <c r="K415" s="1041"/>
      <c r="L415" s="981">
        <f>L416+L417</f>
        <v>56446759.399999999</v>
      </c>
    </row>
    <row r="416" spans="1:13" ht="23.25" customHeight="1" x14ac:dyDescent="0.25">
      <c r="A416" s="1202"/>
      <c r="B416" s="1189"/>
      <c r="C416" s="1111"/>
      <c r="D416" s="934" t="s">
        <v>283</v>
      </c>
      <c r="E416" s="799">
        <f>E419+E444</f>
        <v>56446759.399999999</v>
      </c>
      <c r="F416" s="805">
        <f>F419+F444</f>
        <v>37190408.329999998</v>
      </c>
      <c r="G416" s="1111"/>
      <c r="H416" s="1111"/>
      <c r="I416" s="1111"/>
      <c r="J416" s="1120"/>
      <c r="K416" s="1111"/>
      <c r="L416" s="463">
        <f>L419+L444</f>
        <v>56446759.399999999</v>
      </c>
    </row>
    <row r="417" spans="1:12" ht="23.25" customHeight="1" thickBot="1" x14ac:dyDescent="0.3">
      <c r="A417" s="1202"/>
      <c r="B417" s="1190"/>
      <c r="C417" s="1042"/>
      <c r="D417" s="730" t="s">
        <v>281</v>
      </c>
      <c r="E417" s="802">
        <f>E420+E445</f>
        <v>0</v>
      </c>
      <c r="F417" s="800">
        <f>F420+F445</f>
        <v>0</v>
      </c>
      <c r="G417" s="1042"/>
      <c r="H417" s="1042"/>
      <c r="I417" s="1042"/>
      <c r="J417" s="1116"/>
      <c r="K417" s="1042"/>
      <c r="L417" s="993">
        <f>L420+L445</f>
        <v>0</v>
      </c>
    </row>
    <row r="418" spans="1:12" ht="24.75" customHeight="1" x14ac:dyDescent="0.25">
      <c r="A418" s="1202"/>
      <c r="B418" s="1135" t="s">
        <v>618</v>
      </c>
      <c r="C418" s="1041" t="s">
        <v>180</v>
      </c>
      <c r="D418" s="734" t="s">
        <v>225</v>
      </c>
      <c r="E418" s="349">
        <f>E419+E420</f>
        <v>8295094.4400000004</v>
      </c>
      <c r="F418" s="341">
        <f>F419+F420</f>
        <v>5519958.0800000001</v>
      </c>
      <c r="G418" s="1041" t="s">
        <v>426</v>
      </c>
      <c r="H418" s="1127" t="s">
        <v>698</v>
      </c>
      <c r="I418" s="1041" t="s">
        <v>353</v>
      </c>
      <c r="J418" s="1119">
        <v>200</v>
      </c>
      <c r="K418" s="1041">
        <v>208.5</v>
      </c>
      <c r="L418" s="981">
        <f>L419+L420</f>
        <v>8295094.4400000004</v>
      </c>
    </row>
    <row r="419" spans="1:12" ht="24.75" customHeight="1" x14ac:dyDescent="0.25">
      <c r="A419" s="1202"/>
      <c r="B419" s="1136"/>
      <c r="C419" s="1111"/>
      <c r="D419" s="934" t="s">
        <v>283</v>
      </c>
      <c r="E419" s="806">
        <v>8295094.4400000004</v>
      </c>
      <c r="F419" s="807">
        <v>5519958.0800000001</v>
      </c>
      <c r="G419" s="1111"/>
      <c r="H419" s="1128"/>
      <c r="I419" s="1111"/>
      <c r="J419" s="1120"/>
      <c r="K419" s="1111"/>
      <c r="L419" s="463">
        <v>8295094.4400000004</v>
      </c>
    </row>
    <row r="420" spans="1:12" ht="24.75" customHeight="1" thickBot="1" x14ac:dyDescent="0.3">
      <c r="A420" s="1202"/>
      <c r="B420" s="1136"/>
      <c r="C420" s="1111"/>
      <c r="D420" s="934" t="s">
        <v>281</v>
      </c>
      <c r="E420" s="806">
        <f>0</f>
        <v>0</v>
      </c>
      <c r="F420" s="807">
        <v>0</v>
      </c>
      <c r="G420" s="1111"/>
      <c r="H420" s="1128"/>
      <c r="I420" s="1111"/>
      <c r="J420" s="1120"/>
      <c r="K420" s="1111"/>
      <c r="L420" s="993">
        <v>0</v>
      </c>
    </row>
    <row r="421" spans="1:12" ht="24.75" customHeight="1" x14ac:dyDescent="0.25">
      <c r="A421" s="1202"/>
      <c r="B421" s="1136"/>
      <c r="C421" s="1111"/>
      <c r="D421" s="1111"/>
      <c r="E421" s="1120"/>
      <c r="F421" s="1306"/>
      <c r="G421" s="1111"/>
      <c r="H421" s="1128"/>
      <c r="I421" s="1111"/>
      <c r="J421" s="1120"/>
      <c r="K421" s="1111"/>
      <c r="L421" s="1041"/>
    </row>
    <row r="422" spans="1:12" ht="24.75" customHeight="1" x14ac:dyDescent="0.25">
      <c r="A422" s="1202"/>
      <c r="B422" s="1136"/>
      <c r="C422" s="1111"/>
      <c r="D422" s="1111"/>
      <c r="E422" s="1120"/>
      <c r="F422" s="1306"/>
      <c r="G422" s="1111"/>
      <c r="H422" s="1128"/>
      <c r="I422" s="1111"/>
      <c r="J422" s="1120"/>
      <c r="K422" s="1111"/>
      <c r="L422" s="1111"/>
    </row>
    <row r="423" spans="1:12" ht="24.75" customHeight="1" x14ac:dyDescent="0.25">
      <c r="A423" s="1202"/>
      <c r="B423" s="1136"/>
      <c r="C423" s="1111"/>
      <c r="D423" s="1111"/>
      <c r="E423" s="1120"/>
      <c r="F423" s="1306"/>
      <c r="G423" s="1111"/>
      <c r="H423" s="1128"/>
      <c r="I423" s="1111"/>
      <c r="J423" s="1120"/>
      <c r="K423" s="1111"/>
      <c r="L423" s="1111"/>
    </row>
    <row r="424" spans="1:12" ht="24.75" customHeight="1" x14ac:dyDescent="0.25">
      <c r="A424" s="1202"/>
      <c r="B424" s="1136"/>
      <c r="C424" s="1111"/>
      <c r="D424" s="1111"/>
      <c r="E424" s="1120"/>
      <c r="F424" s="1306"/>
      <c r="G424" s="1111"/>
      <c r="H424" s="1128"/>
      <c r="I424" s="1111"/>
      <c r="J424" s="1120"/>
      <c r="K424" s="1111"/>
      <c r="L424" s="1111"/>
    </row>
    <row r="425" spans="1:12" ht="24.75" customHeight="1" x14ac:dyDescent="0.25">
      <c r="A425" s="1202"/>
      <c r="B425" s="1136"/>
      <c r="C425" s="1111"/>
      <c r="D425" s="1111"/>
      <c r="E425" s="1120"/>
      <c r="F425" s="1306"/>
      <c r="G425" s="1111"/>
      <c r="H425" s="1128"/>
      <c r="I425" s="1111"/>
      <c r="J425" s="1120"/>
      <c r="K425" s="1111"/>
      <c r="L425" s="1111"/>
    </row>
    <row r="426" spans="1:12" ht="24.75" customHeight="1" x14ac:dyDescent="0.25">
      <c r="A426" s="1202"/>
      <c r="B426" s="1136"/>
      <c r="C426" s="1111"/>
      <c r="D426" s="1111"/>
      <c r="E426" s="1120"/>
      <c r="F426" s="1306"/>
      <c r="G426" s="1111"/>
      <c r="H426" s="1128"/>
      <c r="I426" s="1111"/>
      <c r="J426" s="1120"/>
      <c r="K426" s="1111"/>
      <c r="L426" s="1111"/>
    </row>
    <row r="427" spans="1:12" ht="0.75" customHeight="1" x14ac:dyDescent="0.25">
      <c r="A427" s="1202"/>
      <c r="B427" s="1136"/>
      <c r="C427" s="1111"/>
      <c r="D427" s="1111"/>
      <c r="E427" s="1120"/>
      <c r="F427" s="1306"/>
      <c r="G427" s="1111"/>
      <c r="H427" s="1128"/>
      <c r="I427" s="1111"/>
      <c r="J427" s="1120"/>
      <c r="K427" s="1111"/>
      <c r="L427" s="1111"/>
    </row>
    <row r="428" spans="1:12" ht="24.75" hidden="1" customHeight="1" x14ac:dyDescent="0.25">
      <c r="A428" s="1202"/>
      <c r="B428" s="1136"/>
      <c r="C428" s="1111"/>
      <c r="D428" s="1111"/>
      <c r="E428" s="1120"/>
      <c r="F428" s="1306"/>
      <c r="G428" s="1111"/>
      <c r="H428" s="1128"/>
      <c r="I428" s="1111"/>
      <c r="J428" s="1120"/>
      <c r="K428" s="1166"/>
      <c r="L428" s="1111"/>
    </row>
    <row r="429" spans="1:12" ht="24.75" customHeight="1" x14ac:dyDescent="0.25">
      <c r="A429" s="1202"/>
      <c r="B429" s="1136"/>
      <c r="C429" s="1111"/>
      <c r="D429" s="1111"/>
      <c r="E429" s="1120"/>
      <c r="F429" s="1306"/>
      <c r="G429" s="1111"/>
      <c r="H429" s="1112" t="s">
        <v>619</v>
      </c>
      <c r="I429" s="1114" t="s">
        <v>353</v>
      </c>
      <c r="J429" s="1115">
        <v>100</v>
      </c>
      <c r="K429" s="1117">
        <v>107.6</v>
      </c>
      <c r="L429" s="1111"/>
    </row>
    <row r="430" spans="1:12" ht="24.75" customHeight="1" x14ac:dyDescent="0.25">
      <c r="A430" s="1202"/>
      <c r="B430" s="1136"/>
      <c r="C430" s="1111"/>
      <c r="D430" s="1111"/>
      <c r="E430" s="1120"/>
      <c r="F430" s="1306"/>
      <c r="G430" s="1111"/>
      <c r="H430" s="1128"/>
      <c r="I430" s="1111"/>
      <c r="J430" s="1120"/>
      <c r="K430" s="1398"/>
      <c r="L430" s="1111"/>
    </row>
    <row r="431" spans="1:12" ht="24.75" customHeight="1" x14ac:dyDescent="0.25">
      <c r="A431" s="1202"/>
      <c r="B431" s="1136"/>
      <c r="C431" s="1111"/>
      <c r="D431" s="1111"/>
      <c r="E431" s="1120"/>
      <c r="F431" s="1306"/>
      <c r="G431" s="1111"/>
      <c r="H431" s="1128"/>
      <c r="I431" s="1111"/>
      <c r="J431" s="1120"/>
      <c r="K431" s="1398"/>
      <c r="L431" s="1111"/>
    </row>
    <row r="432" spans="1:12" ht="24.75" customHeight="1" x14ac:dyDescent="0.25">
      <c r="A432" s="1202"/>
      <c r="B432" s="1136"/>
      <c r="C432" s="1111"/>
      <c r="D432" s="1111"/>
      <c r="E432" s="1120"/>
      <c r="F432" s="1306"/>
      <c r="G432" s="1111"/>
      <c r="H432" s="1128"/>
      <c r="I432" s="1111"/>
      <c r="J432" s="1120"/>
      <c r="K432" s="1398"/>
      <c r="L432" s="1111"/>
    </row>
    <row r="433" spans="1:12" ht="24.75" customHeight="1" x14ac:dyDescent="0.25">
      <c r="A433" s="1202"/>
      <c r="B433" s="1136"/>
      <c r="C433" s="1111"/>
      <c r="D433" s="1111"/>
      <c r="E433" s="1120"/>
      <c r="F433" s="1306"/>
      <c r="G433" s="1111"/>
      <c r="H433" s="1128"/>
      <c r="I433" s="1111"/>
      <c r="J433" s="1120"/>
      <c r="K433" s="1398"/>
      <c r="L433" s="1111"/>
    </row>
    <row r="434" spans="1:12" ht="14.25" customHeight="1" x14ac:dyDescent="0.25">
      <c r="A434" s="1202"/>
      <c r="B434" s="1136"/>
      <c r="C434" s="1111"/>
      <c r="D434" s="1111"/>
      <c r="E434" s="1120"/>
      <c r="F434" s="1306"/>
      <c r="G434" s="1111"/>
      <c r="H434" s="1128"/>
      <c r="I434" s="1111"/>
      <c r="J434" s="1120"/>
      <c r="K434" s="1398"/>
      <c r="L434" s="1111"/>
    </row>
    <row r="435" spans="1:12" ht="24.75" hidden="1" customHeight="1" x14ac:dyDescent="0.25">
      <c r="A435" s="1202"/>
      <c r="B435" s="1136"/>
      <c r="C435" s="1111"/>
      <c r="D435" s="1111"/>
      <c r="E435" s="1120"/>
      <c r="F435" s="1306"/>
      <c r="G435" s="1111"/>
      <c r="H435" s="1128"/>
      <c r="I435" s="1111"/>
      <c r="J435" s="1120"/>
      <c r="K435" s="1399"/>
      <c r="L435" s="1111"/>
    </row>
    <row r="436" spans="1:12" ht="24.75" customHeight="1" x14ac:dyDescent="0.25">
      <c r="A436" s="1202"/>
      <c r="B436" s="1136"/>
      <c r="C436" s="1111"/>
      <c r="D436" s="1111"/>
      <c r="E436" s="1120"/>
      <c r="F436" s="1306"/>
      <c r="G436" s="1111"/>
      <c r="H436" s="1112" t="s">
        <v>620</v>
      </c>
      <c r="I436" s="1114" t="s">
        <v>353</v>
      </c>
      <c r="J436" s="1115">
        <v>100</v>
      </c>
      <c r="K436" s="1114">
        <v>100.5</v>
      </c>
      <c r="L436" s="1111"/>
    </row>
    <row r="437" spans="1:12" ht="24.75" customHeight="1" x14ac:dyDescent="0.25">
      <c r="A437" s="1202"/>
      <c r="B437" s="1136"/>
      <c r="C437" s="1111"/>
      <c r="D437" s="1111"/>
      <c r="E437" s="1120"/>
      <c r="F437" s="1306"/>
      <c r="G437" s="1111"/>
      <c r="H437" s="1128"/>
      <c r="I437" s="1111"/>
      <c r="J437" s="1120"/>
      <c r="K437" s="1111"/>
      <c r="L437" s="1111"/>
    </row>
    <row r="438" spans="1:12" ht="24.75" customHeight="1" x14ac:dyDescent="0.25">
      <c r="A438" s="1202"/>
      <c r="B438" s="1136"/>
      <c r="C438" s="1111"/>
      <c r="D438" s="1111"/>
      <c r="E438" s="1120"/>
      <c r="F438" s="1306"/>
      <c r="G438" s="1111"/>
      <c r="H438" s="1128"/>
      <c r="I438" s="1111"/>
      <c r="J438" s="1120"/>
      <c r="K438" s="1111"/>
      <c r="L438" s="1111"/>
    </row>
    <row r="439" spans="1:12" ht="24.75" customHeight="1" x14ac:dyDescent="0.25">
      <c r="A439" s="1202"/>
      <c r="B439" s="1136"/>
      <c r="C439" s="1111"/>
      <c r="D439" s="1111"/>
      <c r="E439" s="1120"/>
      <c r="F439" s="1306"/>
      <c r="G439" s="1111"/>
      <c r="H439" s="1128"/>
      <c r="I439" s="1111"/>
      <c r="J439" s="1120"/>
      <c r="K439" s="1111"/>
      <c r="L439" s="1111"/>
    </row>
    <row r="440" spans="1:12" ht="24.75" customHeight="1" x14ac:dyDescent="0.25">
      <c r="A440" s="1202"/>
      <c r="B440" s="1136"/>
      <c r="C440" s="1111"/>
      <c r="D440" s="1111"/>
      <c r="E440" s="1120"/>
      <c r="F440" s="1306"/>
      <c r="G440" s="1111"/>
      <c r="H440" s="1128"/>
      <c r="I440" s="1111"/>
      <c r="J440" s="1120"/>
      <c r="K440" s="1111"/>
      <c r="L440" s="1111"/>
    </row>
    <row r="441" spans="1:12" ht="0.75" customHeight="1" thickBot="1" x14ac:dyDescent="0.3">
      <c r="A441" s="1202"/>
      <c r="B441" s="1136"/>
      <c r="C441" s="1111"/>
      <c r="D441" s="1111"/>
      <c r="E441" s="1120"/>
      <c r="F441" s="1306"/>
      <c r="G441" s="1111"/>
      <c r="H441" s="1128"/>
      <c r="I441" s="1111"/>
      <c r="J441" s="1120"/>
      <c r="K441" s="1111"/>
      <c r="L441" s="1111"/>
    </row>
    <row r="442" spans="1:12" ht="24.75" hidden="1" customHeight="1" thickBot="1" x14ac:dyDescent="0.3">
      <c r="A442" s="1202"/>
      <c r="B442" s="1137"/>
      <c r="C442" s="1042"/>
      <c r="D442" s="1042"/>
      <c r="E442" s="1116"/>
      <c r="F442" s="1307"/>
      <c r="G442" s="1042"/>
      <c r="H442" s="1128"/>
      <c r="I442" s="1111"/>
      <c r="J442" s="1120"/>
      <c r="K442" s="1111"/>
      <c r="L442" s="1111"/>
    </row>
    <row r="443" spans="1:12" ht="24.75" customHeight="1" x14ac:dyDescent="0.25">
      <c r="A443" s="1202"/>
      <c r="B443" s="1135" t="s">
        <v>715</v>
      </c>
      <c r="C443" s="1041" t="s">
        <v>180</v>
      </c>
      <c r="D443" s="734" t="s">
        <v>225</v>
      </c>
      <c r="E443" s="349">
        <f>E444+E445</f>
        <v>48151664.960000001</v>
      </c>
      <c r="F443" s="341">
        <f>F444+F445</f>
        <v>31670450.25</v>
      </c>
      <c r="G443" s="1129" t="s">
        <v>426</v>
      </c>
      <c r="H443" s="1309" t="s">
        <v>716</v>
      </c>
      <c r="I443" s="1159" t="s">
        <v>357</v>
      </c>
      <c r="J443" s="1162">
        <v>102</v>
      </c>
      <c r="K443" s="1154">
        <v>66</v>
      </c>
      <c r="L443" s="981">
        <f>L444+L445</f>
        <v>48151664.960000001</v>
      </c>
    </row>
    <row r="444" spans="1:12" ht="24.75" customHeight="1" x14ac:dyDescent="0.25">
      <c r="A444" s="1202"/>
      <c r="B444" s="1136"/>
      <c r="C444" s="1111"/>
      <c r="D444" s="934" t="s">
        <v>283</v>
      </c>
      <c r="E444" s="851">
        <v>48151664.960000001</v>
      </c>
      <c r="F444" s="807">
        <v>31670450.25</v>
      </c>
      <c r="G444" s="1130"/>
      <c r="H444" s="1308"/>
      <c r="I444" s="1160"/>
      <c r="J444" s="1163"/>
      <c r="K444" s="1155"/>
      <c r="L444" s="463">
        <v>48151664.960000001</v>
      </c>
    </row>
    <row r="445" spans="1:12" ht="24.75" customHeight="1" thickBot="1" x14ac:dyDescent="0.3">
      <c r="A445" s="1202"/>
      <c r="B445" s="1136"/>
      <c r="C445" s="1111"/>
      <c r="D445" s="730" t="s">
        <v>281</v>
      </c>
      <c r="E445" s="809">
        <v>0</v>
      </c>
      <c r="F445" s="810">
        <v>0</v>
      </c>
      <c r="G445" s="1130"/>
      <c r="H445" s="1308"/>
      <c r="I445" s="1160"/>
      <c r="J445" s="1163"/>
      <c r="K445" s="1155"/>
      <c r="L445" s="964">
        <v>0</v>
      </c>
    </row>
    <row r="446" spans="1:12" ht="24.75" customHeight="1" x14ac:dyDescent="0.25">
      <c r="A446" s="1202"/>
      <c r="B446" s="1136"/>
      <c r="C446" s="1111"/>
      <c r="D446" s="1041"/>
      <c r="E446" s="1119"/>
      <c r="F446" s="1332"/>
      <c r="G446" s="1130"/>
      <c r="H446" s="1308"/>
      <c r="I446" s="1160"/>
      <c r="J446" s="1163"/>
      <c r="K446" s="1155"/>
      <c r="L446" s="1041"/>
    </row>
    <row r="447" spans="1:12" ht="24.75" hidden="1" customHeight="1" x14ac:dyDescent="0.25">
      <c r="A447" s="1202"/>
      <c r="B447" s="1136"/>
      <c r="C447" s="1111"/>
      <c r="D447" s="1111"/>
      <c r="E447" s="1120"/>
      <c r="F447" s="1306"/>
      <c r="G447" s="1130"/>
      <c r="H447" s="1308"/>
      <c r="I447" s="1160"/>
      <c r="J447" s="1163"/>
      <c r="K447" s="1155"/>
      <c r="L447" s="1111"/>
    </row>
    <row r="448" spans="1:12" ht="24.75" customHeight="1" x14ac:dyDescent="0.25">
      <c r="A448" s="1202"/>
      <c r="B448" s="1136"/>
      <c r="C448" s="1111"/>
      <c r="D448" s="1111"/>
      <c r="E448" s="1120"/>
      <c r="F448" s="1306"/>
      <c r="G448" s="1130"/>
      <c r="H448" s="1308" t="s">
        <v>717</v>
      </c>
      <c r="I448" s="1160" t="s">
        <v>351</v>
      </c>
      <c r="J448" s="1163">
        <v>100</v>
      </c>
      <c r="K448" s="1155">
        <v>67.319999999999993</v>
      </c>
      <c r="L448" s="1111"/>
    </row>
    <row r="449" spans="1:12" ht="24.75" customHeight="1" x14ac:dyDescent="0.25">
      <c r="A449" s="1202"/>
      <c r="B449" s="1136"/>
      <c r="C449" s="1111"/>
      <c r="D449" s="1111"/>
      <c r="E449" s="1120"/>
      <c r="F449" s="1306"/>
      <c r="G449" s="1130"/>
      <c r="H449" s="1308"/>
      <c r="I449" s="1160"/>
      <c r="J449" s="1163"/>
      <c r="K449" s="1155"/>
      <c r="L449" s="1111"/>
    </row>
    <row r="450" spans="1:12" ht="24.75" customHeight="1" x14ac:dyDescent="0.25">
      <c r="A450" s="1202"/>
      <c r="B450" s="1136"/>
      <c r="C450" s="1111"/>
      <c r="D450" s="1111"/>
      <c r="E450" s="1120"/>
      <c r="F450" s="1306"/>
      <c r="G450" s="1130"/>
      <c r="H450" s="1308"/>
      <c r="I450" s="1160"/>
      <c r="J450" s="1163"/>
      <c r="K450" s="1155"/>
      <c r="L450" s="1111"/>
    </row>
    <row r="451" spans="1:12" ht="15.75" customHeight="1" x14ac:dyDescent="0.25">
      <c r="A451" s="1202"/>
      <c r="B451" s="1136"/>
      <c r="C451" s="1111"/>
      <c r="D451" s="1111"/>
      <c r="E451" s="1120"/>
      <c r="F451" s="1306"/>
      <c r="G451" s="1130"/>
      <c r="H451" s="1308"/>
      <c r="I451" s="1160"/>
      <c r="J451" s="1163"/>
      <c r="K451" s="1155"/>
      <c r="L451" s="1111"/>
    </row>
    <row r="452" spans="1:12" ht="24.75" customHeight="1" x14ac:dyDescent="0.25">
      <c r="A452" s="1202"/>
      <c r="B452" s="1136"/>
      <c r="C452" s="1111"/>
      <c r="D452" s="1111"/>
      <c r="E452" s="1120"/>
      <c r="F452" s="1306"/>
      <c r="G452" s="1130"/>
      <c r="H452" s="1308" t="s">
        <v>718</v>
      </c>
      <c r="I452" s="1160" t="s">
        <v>351</v>
      </c>
      <c r="J452" s="1163">
        <v>100</v>
      </c>
      <c r="K452" s="1155">
        <v>100</v>
      </c>
      <c r="L452" s="1111"/>
    </row>
    <row r="453" spans="1:12" ht="24.75" customHeight="1" x14ac:dyDescent="0.25">
      <c r="A453" s="1202"/>
      <c r="B453" s="1136"/>
      <c r="C453" s="1111"/>
      <c r="D453" s="1111"/>
      <c r="E453" s="1120"/>
      <c r="F453" s="1306"/>
      <c r="G453" s="1130"/>
      <c r="H453" s="1308"/>
      <c r="I453" s="1160"/>
      <c r="J453" s="1163"/>
      <c r="K453" s="1155"/>
      <c r="L453" s="1111"/>
    </row>
    <row r="454" spans="1:12" ht="24.75" customHeight="1" x14ac:dyDescent="0.25">
      <c r="A454" s="1202"/>
      <c r="B454" s="1136"/>
      <c r="C454" s="1111"/>
      <c r="D454" s="1111"/>
      <c r="E454" s="1120"/>
      <c r="F454" s="1306"/>
      <c r="G454" s="1130"/>
      <c r="H454" s="1308"/>
      <c r="I454" s="1160"/>
      <c r="J454" s="1163"/>
      <c r="K454" s="1155"/>
      <c r="L454" s="1111"/>
    </row>
    <row r="455" spans="1:12" ht="24.75" customHeight="1" thickBot="1" x14ac:dyDescent="0.3">
      <c r="A455" s="1202"/>
      <c r="B455" s="1137"/>
      <c r="C455" s="1042"/>
      <c r="D455" s="1042"/>
      <c r="E455" s="1116"/>
      <c r="F455" s="1307"/>
      <c r="G455" s="1131"/>
      <c r="H455" s="769" t="s">
        <v>366</v>
      </c>
      <c r="I455" s="921" t="s">
        <v>360</v>
      </c>
      <c r="J455" s="959">
        <v>32640</v>
      </c>
      <c r="K455" s="958">
        <v>15974</v>
      </c>
      <c r="L455" s="1042"/>
    </row>
    <row r="456" spans="1:12" ht="18" customHeight="1" x14ac:dyDescent="0.25">
      <c r="A456" s="1202"/>
      <c r="B456" s="1188" t="s">
        <v>719</v>
      </c>
      <c r="C456" s="1041"/>
      <c r="D456" s="734" t="s">
        <v>225</v>
      </c>
      <c r="E456" s="371">
        <f>E457+E458</f>
        <v>5718398.4500000002</v>
      </c>
      <c r="F456" s="801">
        <f>F457+F458</f>
        <v>4060373.61</v>
      </c>
      <c r="G456" s="1041"/>
      <c r="H456" s="1041"/>
      <c r="I456" s="1041"/>
      <c r="J456" s="1191"/>
      <c r="K456" s="1041"/>
      <c r="L456" s="981">
        <f>L457+L458</f>
        <v>5679398.4500000002</v>
      </c>
    </row>
    <row r="457" spans="1:12" ht="18" customHeight="1" x14ac:dyDescent="0.25">
      <c r="A457" s="1202"/>
      <c r="B457" s="1189"/>
      <c r="C457" s="1111"/>
      <c r="D457" s="934" t="s">
        <v>283</v>
      </c>
      <c r="E457" s="799">
        <f>E460</f>
        <v>5718398.4500000002</v>
      </c>
      <c r="F457" s="805">
        <f>F460</f>
        <v>4060373.61</v>
      </c>
      <c r="G457" s="1111"/>
      <c r="H457" s="1111"/>
      <c r="I457" s="1111"/>
      <c r="J457" s="1192"/>
      <c r="K457" s="1111"/>
      <c r="L457" s="463">
        <f>L460</f>
        <v>5679398.4500000002</v>
      </c>
    </row>
    <row r="458" spans="1:12" ht="18" customHeight="1" thickBot="1" x14ac:dyDescent="0.3">
      <c r="A458" s="1202"/>
      <c r="B458" s="1190"/>
      <c r="C458" s="1042"/>
      <c r="D458" s="730" t="s">
        <v>282</v>
      </c>
      <c r="E458" s="802">
        <f>E461</f>
        <v>0</v>
      </c>
      <c r="F458" s="800">
        <f>F461</f>
        <v>0</v>
      </c>
      <c r="G458" s="1042"/>
      <c r="H458" s="1042"/>
      <c r="I458" s="1042"/>
      <c r="J458" s="1193"/>
      <c r="K458" s="1042"/>
      <c r="L458" s="993">
        <f>L461</f>
        <v>0</v>
      </c>
    </row>
    <row r="459" spans="1:12" ht="19.5" customHeight="1" x14ac:dyDescent="0.25">
      <c r="A459" s="1202"/>
      <c r="B459" s="1136" t="s">
        <v>720</v>
      </c>
      <c r="C459" s="1111" t="s">
        <v>180</v>
      </c>
      <c r="D459" s="946" t="s">
        <v>225</v>
      </c>
      <c r="E459" s="846">
        <f>E460+E461</f>
        <v>5718398.4500000002</v>
      </c>
      <c r="F459" s="847">
        <f>F460+F461</f>
        <v>4060373.61</v>
      </c>
      <c r="G459" s="1041" t="s">
        <v>426</v>
      </c>
      <c r="H459" s="1127" t="s">
        <v>367</v>
      </c>
      <c r="I459" s="1041" t="s">
        <v>355</v>
      </c>
      <c r="J459" s="1191">
        <v>14</v>
      </c>
      <c r="K459" s="1121">
        <v>14</v>
      </c>
      <c r="L459" s="999">
        <f>L460+L461</f>
        <v>5679398.4500000002</v>
      </c>
    </row>
    <row r="460" spans="1:12" ht="19.5" customHeight="1" x14ac:dyDescent="0.25">
      <c r="A460" s="1202"/>
      <c r="B460" s="1136"/>
      <c r="C460" s="1111"/>
      <c r="D460" s="934" t="s">
        <v>283</v>
      </c>
      <c r="E460" s="806">
        <v>5718398.4500000002</v>
      </c>
      <c r="F460" s="807">
        <v>4060373.61</v>
      </c>
      <c r="G460" s="1111"/>
      <c r="H460" s="1128"/>
      <c r="I460" s="1111"/>
      <c r="J460" s="1192"/>
      <c r="K460" s="1122"/>
      <c r="L460" s="463">
        <v>5679398.4500000002</v>
      </c>
    </row>
    <row r="461" spans="1:12" ht="30.75" customHeight="1" thickBot="1" x14ac:dyDescent="0.3">
      <c r="A461" s="1202"/>
      <c r="B461" s="1136"/>
      <c r="C461" s="1111"/>
      <c r="D461" s="926" t="s">
        <v>282</v>
      </c>
      <c r="E461" s="832">
        <f>0</f>
        <v>0</v>
      </c>
      <c r="F461" s="704">
        <v>0</v>
      </c>
      <c r="G461" s="1042"/>
      <c r="H461" s="1113"/>
      <c r="I461" s="1042"/>
      <c r="J461" s="1193"/>
      <c r="K461" s="1123"/>
      <c r="L461" s="964">
        <v>0</v>
      </c>
    </row>
    <row r="462" spans="1:12" ht="18.75" customHeight="1" x14ac:dyDescent="0.25">
      <c r="A462" s="1202"/>
      <c r="B462" s="1188" t="s">
        <v>721</v>
      </c>
      <c r="C462" s="1041"/>
      <c r="D462" s="734" t="s">
        <v>225</v>
      </c>
      <c r="E462" s="371">
        <f>E463+E464</f>
        <v>7321647.7999999998</v>
      </c>
      <c r="F462" s="801">
        <f>F463+F464</f>
        <v>5223937</v>
      </c>
      <c r="G462" s="1041"/>
      <c r="H462" s="1041"/>
      <c r="I462" s="1041"/>
      <c r="J462" s="1191"/>
      <c r="K462" s="1041"/>
      <c r="L462" s="981">
        <f>L463+L464</f>
        <v>7321647.7999999998</v>
      </c>
    </row>
    <row r="463" spans="1:12" ht="18.75" customHeight="1" x14ac:dyDescent="0.25">
      <c r="A463" s="1202"/>
      <c r="B463" s="1189"/>
      <c r="C463" s="1111"/>
      <c r="D463" s="934" t="s">
        <v>283</v>
      </c>
      <c r="E463" s="799">
        <f>E466</f>
        <v>7321647.7999999998</v>
      </c>
      <c r="F463" s="805">
        <f>F466</f>
        <v>5223937</v>
      </c>
      <c r="G463" s="1111"/>
      <c r="H463" s="1111"/>
      <c r="I463" s="1111"/>
      <c r="J463" s="1192"/>
      <c r="K463" s="1111"/>
      <c r="L463" s="463">
        <f>L466</f>
        <v>7321647.7999999998</v>
      </c>
    </row>
    <row r="464" spans="1:12" ht="18.75" customHeight="1" thickBot="1" x14ac:dyDescent="0.3">
      <c r="A464" s="1202"/>
      <c r="B464" s="1190"/>
      <c r="C464" s="1042"/>
      <c r="D464" s="730" t="s">
        <v>282</v>
      </c>
      <c r="E464" s="802">
        <f>E467</f>
        <v>0</v>
      </c>
      <c r="F464" s="800">
        <f>F467</f>
        <v>0</v>
      </c>
      <c r="G464" s="1042"/>
      <c r="H464" s="1042"/>
      <c r="I464" s="1042"/>
      <c r="J464" s="1193"/>
      <c r="K464" s="1042"/>
      <c r="L464" s="993">
        <f>L468</f>
        <v>0</v>
      </c>
    </row>
    <row r="465" spans="1:12" ht="39.75" customHeight="1" x14ac:dyDescent="0.25">
      <c r="A465" s="1202"/>
      <c r="B465" s="1136" t="s">
        <v>722</v>
      </c>
      <c r="C465" s="1111" t="s">
        <v>180</v>
      </c>
      <c r="D465" s="946" t="s">
        <v>225</v>
      </c>
      <c r="E465" s="846">
        <f>E466+E467</f>
        <v>7321647.7999999998</v>
      </c>
      <c r="F465" s="847">
        <f>F466+F467</f>
        <v>5223937</v>
      </c>
      <c r="G465" s="1041" t="s">
        <v>426</v>
      </c>
      <c r="H465" s="150" t="s">
        <v>723</v>
      </c>
      <c r="I465" s="919" t="s">
        <v>606</v>
      </c>
      <c r="J465" s="952">
        <v>0</v>
      </c>
      <c r="K465" s="956">
        <v>0</v>
      </c>
      <c r="L465" s="981">
        <f>L466+L468</f>
        <v>7321647.7999999998</v>
      </c>
    </row>
    <row r="466" spans="1:12" ht="39.75" customHeight="1" x14ac:dyDescent="0.25">
      <c r="A466" s="1202"/>
      <c r="B466" s="1136"/>
      <c r="C466" s="1111"/>
      <c r="D466" s="934" t="s">
        <v>283</v>
      </c>
      <c r="E466" s="806">
        <v>7321647.7999999998</v>
      </c>
      <c r="F466" s="807">
        <v>5223937</v>
      </c>
      <c r="G466" s="1111"/>
      <c r="H466" s="728" t="s">
        <v>724</v>
      </c>
      <c r="I466" s="920" t="s">
        <v>725</v>
      </c>
      <c r="J466" s="917">
        <v>0</v>
      </c>
      <c r="K466" s="933">
        <v>0</v>
      </c>
      <c r="L466" s="463">
        <v>7321647.7999999998</v>
      </c>
    </row>
    <row r="467" spans="1:12" ht="15.75" customHeight="1" x14ac:dyDescent="0.25">
      <c r="A467" s="1202"/>
      <c r="B467" s="1136"/>
      <c r="C467" s="1111"/>
      <c r="D467" s="926" t="s">
        <v>282</v>
      </c>
      <c r="E467" s="852">
        <f>0</f>
        <v>0</v>
      </c>
      <c r="F467" s="704">
        <v>0</v>
      </c>
      <c r="G467" s="1111"/>
      <c r="H467" s="61" t="s">
        <v>726</v>
      </c>
      <c r="I467" s="910" t="s">
        <v>727</v>
      </c>
      <c r="J467" s="928">
        <v>0</v>
      </c>
      <c r="K467" s="929">
        <v>0</v>
      </c>
      <c r="L467" s="964"/>
    </row>
    <row r="468" spans="1:12" ht="39.75" customHeight="1" thickBot="1" x14ac:dyDescent="0.3">
      <c r="A468" s="1202"/>
      <c r="B468" s="1136"/>
      <c r="C468" s="1111"/>
      <c r="D468" s="843"/>
      <c r="E468" s="329"/>
      <c r="F468" s="787"/>
      <c r="G468" s="1042"/>
      <c r="H468" s="151" t="s">
        <v>728</v>
      </c>
      <c r="I468" s="921" t="s">
        <v>359</v>
      </c>
      <c r="J468" s="959">
        <v>67</v>
      </c>
      <c r="K468" s="958">
        <v>67</v>
      </c>
      <c r="L468" s="993">
        <v>0</v>
      </c>
    </row>
    <row r="469" spans="1:12" ht="18" customHeight="1" x14ac:dyDescent="0.25">
      <c r="A469" s="1202"/>
      <c r="B469" s="1188" t="s">
        <v>729</v>
      </c>
      <c r="C469" s="1041"/>
      <c r="D469" s="734" t="s">
        <v>225</v>
      </c>
      <c r="E469" s="371">
        <f>E470+E471</f>
        <v>27502903.93</v>
      </c>
      <c r="F469" s="801">
        <f>F470+F471</f>
        <v>18675609.73</v>
      </c>
      <c r="G469" s="1041"/>
      <c r="H469" s="1041"/>
      <c r="I469" s="1041"/>
      <c r="J469" s="1191"/>
      <c r="K469" s="1041"/>
      <c r="L469" s="981">
        <f>L470+L471</f>
        <v>27502903.93</v>
      </c>
    </row>
    <row r="470" spans="1:12" ht="18" customHeight="1" x14ac:dyDescent="0.25">
      <c r="A470" s="1202"/>
      <c r="B470" s="1189"/>
      <c r="C470" s="1111"/>
      <c r="D470" s="934" t="s">
        <v>283</v>
      </c>
      <c r="E470" s="799">
        <f>E473</f>
        <v>27502903.93</v>
      </c>
      <c r="F470" s="805">
        <f>F473</f>
        <v>18675609.73</v>
      </c>
      <c r="G470" s="1111"/>
      <c r="H470" s="1111"/>
      <c r="I470" s="1111"/>
      <c r="J470" s="1192"/>
      <c r="K470" s="1111"/>
      <c r="L470" s="463">
        <f>L473</f>
        <v>27502903.93</v>
      </c>
    </row>
    <row r="471" spans="1:12" ht="18" customHeight="1" thickBot="1" x14ac:dyDescent="0.3">
      <c r="A471" s="1202"/>
      <c r="B471" s="1190"/>
      <c r="C471" s="1042"/>
      <c r="D471" s="730" t="s">
        <v>282</v>
      </c>
      <c r="E471" s="802">
        <f>E474</f>
        <v>0</v>
      </c>
      <c r="F471" s="800">
        <f>F474</f>
        <v>0</v>
      </c>
      <c r="G471" s="1042"/>
      <c r="H471" s="1042"/>
      <c r="I471" s="1042"/>
      <c r="J471" s="1193"/>
      <c r="K471" s="1042"/>
      <c r="L471" s="993">
        <f>L474</f>
        <v>0</v>
      </c>
    </row>
    <row r="472" spans="1:12" ht="54.75" customHeight="1" x14ac:dyDescent="0.25">
      <c r="A472" s="1202"/>
      <c r="B472" s="1136" t="s">
        <v>730</v>
      </c>
      <c r="C472" s="1111" t="s">
        <v>180</v>
      </c>
      <c r="D472" s="946" t="s">
        <v>225</v>
      </c>
      <c r="E472" s="846">
        <f>E473+E474</f>
        <v>27502903.93</v>
      </c>
      <c r="F472" s="847">
        <f>F473+F474</f>
        <v>18675609.73</v>
      </c>
      <c r="G472" s="1041" t="s">
        <v>426</v>
      </c>
      <c r="H472" s="654" t="s">
        <v>369</v>
      </c>
      <c r="I472" s="919" t="s">
        <v>353</v>
      </c>
      <c r="J472" s="886">
        <v>100</v>
      </c>
      <c r="K472" s="932">
        <v>100</v>
      </c>
      <c r="L472" s="981">
        <f>L473+L474</f>
        <v>27502903.93</v>
      </c>
    </row>
    <row r="473" spans="1:12" ht="24" customHeight="1" x14ac:dyDescent="0.25">
      <c r="A473" s="1202"/>
      <c r="B473" s="1136"/>
      <c r="C473" s="1111"/>
      <c r="D473" s="934" t="s">
        <v>283</v>
      </c>
      <c r="E473" s="806">
        <v>27502903.93</v>
      </c>
      <c r="F473" s="807">
        <v>18675609.73</v>
      </c>
      <c r="G473" s="1111"/>
      <c r="H473" s="728" t="s">
        <v>368</v>
      </c>
      <c r="I473" s="920" t="s">
        <v>351</v>
      </c>
      <c r="J473" s="882">
        <v>100</v>
      </c>
      <c r="K473" s="957">
        <v>100</v>
      </c>
      <c r="L473" s="463">
        <v>27502903.93</v>
      </c>
    </row>
    <row r="474" spans="1:12" ht="16.5" customHeight="1" thickBot="1" x14ac:dyDescent="0.3">
      <c r="A474" s="1202"/>
      <c r="B474" s="1136"/>
      <c r="C474" s="1111"/>
      <c r="D474" s="926" t="s">
        <v>282</v>
      </c>
      <c r="E474" s="832">
        <f>0</f>
        <v>0</v>
      </c>
      <c r="F474" s="704">
        <v>0</v>
      </c>
      <c r="G474" s="1042"/>
      <c r="H474" s="151" t="s">
        <v>367</v>
      </c>
      <c r="I474" s="921" t="s">
        <v>359</v>
      </c>
      <c r="J474" s="970">
        <v>1</v>
      </c>
      <c r="K474" s="929">
        <v>1</v>
      </c>
      <c r="L474" s="964">
        <f>0</f>
        <v>0</v>
      </c>
    </row>
    <row r="475" spans="1:12" x14ac:dyDescent="0.25">
      <c r="A475" s="1202"/>
      <c r="B475" s="1188" t="s">
        <v>731</v>
      </c>
      <c r="C475" s="1041"/>
      <c r="D475" s="734" t="s">
        <v>225</v>
      </c>
      <c r="E475" s="371">
        <f>E476+E477</f>
        <v>50956326.859999999</v>
      </c>
      <c r="F475" s="801">
        <f>F476+F477</f>
        <v>36275456</v>
      </c>
      <c r="G475" s="1129"/>
      <c r="H475" s="1041"/>
      <c r="I475" s="1041"/>
      <c r="J475" s="1119"/>
      <c r="K475" s="1041"/>
      <c r="L475" s="981">
        <f>L476+L477</f>
        <v>50956326.859999999</v>
      </c>
    </row>
    <row r="476" spans="1:12" x14ac:dyDescent="0.25">
      <c r="A476" s="1202"/>
      <c r="B476" s="1189"/>
      <c r="C476" s="1111"/>
      <c r="D476" s="934" t="s">
        <v>283</v>
      </c>
      <c r="E476" s="799">
        <f>E482+E479</f>
        <v>50956326.859999999</v>
      </c>
      <c r="F476" s="805">
        <f>F482+F479</f>
        <v>36275456</v>
      </c>
      <c r="G476" s="1130"/>
      <c r="H476" s="1111"/>
      <c r="I476" s="1111"/>
      <c r="J476" s="1120"/>
      <c r="K476" s="1111"/>
      <c r="L476" s="463">
        <f>L482+L479</f>
        <v>50956326.859999999</v>
      </c>
    </row>
    <row r="477" spans="1:12" ht="15.75" thickBot="1" x14ac:dyDescent="0.3">
      <c r="A477" s="1202"/>
      <c r="B477" s="1190"/>
      <c r="C477" s="1042"/>
      <c r="D477" s="730" t="s">
        <v>282</v>
      </c>
      <c r="E477" s="799">
        <f>E483+E480</f>
        <v>0</v>
      </c>
      <c r="F477" s="805">
        <f>F483+F480</f>
        <v>0</v>
      </c>
      <c r="G477" s="1131"/>
      <c r="H477" s="1042"/>
      <c r="I477" s="1042"/>
      <c r="J477" s="1116"/>
      <c r="K477" s="1042"/>
      <c r="L477" s="993">
        <f>L483+L480</f>
        <v>0</v>
      </c>
    </row>
    <row r="478" spans="1:12" ht="54.75" customHeight="1" x14ac:dyDescent="0.25">
      <c r="A478" s="1202"/>
      <c r="B478" s="1136" t="s">
        <v>732</v>
      </c>
      <c r="C478" s="1111" t="s">
        <v>180</v>
      </c>
      <c r="D478" s="946" t="s">
        <v>225</v>
      </c>
      <c r="E478" s="846">
        <f>E479+E480</f>
        <v>40820757</v>
      </c>
      <c r="F478" s="847">
        <f>F479+F480</f>
        <v>29519016</v>
      </c>
      <c r="G478" s="1041" t="s">
        <v>426</v>
      </c>
      <c r="H478" s="654" t="s">
        <v>733</v>
      </c>
      <c r="I478" s="919" t="s">
        <v>355</v>
      </c>
      <c r="J478" s="886">
        <v>31500</v>
      </c>
      <c r="K478" s="932">
        <v>27197</v>
      </c>
      <c r="L478" s="981">
        <f>L479+L480</f>
        <v>40820757</v>
      </c>
    </row>
    <row r="479" spans="1:12" ht="54.75" customHeight="1" x14ac:dyDescent="0.25">
      <c r="A479" s="1202"/>
      <c r="B479" s="1136"/>
      <c r="C479" s="1111"/>
      <c r="D479" s="934" t="s">
        <v>283</v>
      </c>
      <c r="E479" s="806">
        <v>40820757</v>
      </c>
      <c r="F479" s="807">
        <v>29519016</v>
      </c>
      <c r="G479" s="1111"/>
      <c r="H479" s="1112" t="s">
        <v>515</v>
      </c>
      <c r="I479" s="1114" t="s">
        <v>353</v>
      </c>
      <c r="J479" s="1115">
        <v>100</v>
      </c>
      <c r="K479" s="1165">
        <v>80</v>
      </c>
      <c r="L479" s="463">
        <v>40820757</v>
      </c>
    </row>
    <row r="480" spans="1:12" ht="54.75" customHeight="1" thickBot="1" x14ac:dyDescent="0.3">
      <c r="A480" s="1202"/>
      <c r="B480" s="1136"/>
      <c r="C480" s="1111"/>
      <c r="D480" s="926" t="s">
        <v>282</v>
      </c>
      <c r="E480" s="832">
        <f>0</f>
        <v>0</v>
      </c>
      <c r="F480" s="704">
        <v>0</v>
      </c>
      <c r="G480" s="1042"/>
      <c r="H480" s="1113"/>
      <c r="I480" s="1042"/>
      <c r="J480" s="1116"/>
      <c r="K480" s="1123"/>
      <c r="L480" s="880">
        <f>0</f>
        <v>0</v>
      </c>
    </row>
    <row r="481" spans="1:13" ht="87.75" customHeight="1" x14ac:dyDescent="0.25">
      <c r="A481" s="1202"/>
      <c r="B481" s="1395" t="s">
        <v>618</v>
      </c>
      <c r="C481" s="1041" t="s">
        <v>180</v>
      </c>
      <c r="D481" s="734" t="s">
        <v>225</v>
      </c>
      <c r="E481" s="371">
        <f>E482+E483</f>
        <v>10135569.859999999</v>
      </c>
      <c r="F481" s="341">
        <f>F482+F483</f>
        <v>6756440</v>
      </c>
      <c r="G481" s="1387" t="s">
        <v>426</v>
      </c>
      <c r="H481" s="1127" t="s">
        <v>698</v>
      </c>
      <c r="I481" s="1041" t="s">
        <v>353</v>
      </c>
      <c r="J481" s="1119">
        <v>200</v>
      </c>
      <c r="K481" s="1041">
        <v>208.5</v>
      </c>
      <c r="L481" s="981">
        <f>L482+L483</f>
        <v>10135569.859999999</v>
      </c>
    </row>
    <row r="482" spans="1:13" ht="87.75" customHeight="1" x14ac:dyDescent="0.25">
      <c r="A482" s="1202"/>
      <c r="B482" s="1396"/>
      <c r="C482" s="1111"/>
      <c r="D482" s="934" t="s">
        <v>283</v>
      </c>
      <c r="E482" s="799">
        <v>10135569.859999999</v>
      </c>
      <c r="F482" s="807">
        <v>6756440</v>
      </c>
      <c r="G482" s="1388"/>
      <c r="H482" s="1128"/>
      <c r="I482" s="1111"/>
      <c r="J482" s="1120"/>
      <c r="K482" s="1111"/>
      <c r="L482" s="992">
        <v>10135569.859999999</v>
      </c>
    </row>
    <row r="483" spans="1:13" ht="48" customHeight="1" x14ac:dyDescent="0.25">
      <c r="A483" s="1202"/>
      <c r="B483" s="1396"/>
      <c r="C483" s="1111"/>
      <c r="D483" s="743" t="s">
        <v>282</v>
      </c>
      <c r="E483" s="960">
        <v>0</v>
      </c>
      <c r="F483" s="704">
        <v>0</v>
      </c>
      <c r="G483" s="1388"/>
      <c r="H483" s="1141"/>
      <c r="I483" s="1166"/>
      <c r="J483" s="1167"/>
      <c r="K483" s="1166"/>
      <c r="L483" s="992">
        <v>0</v>
      </c>
    </row>
    <row r="484" spans="1:13" ht="138.75" customHeight="1" x14ac:dyDescent="0.25">
      <c r="A484" s="1202"/>
      <c r="B484" s="1396"/>
      <c r="C484" s="1111"/>
      <c r="D484" s="61"/>
      <c r="E484" s="961"/>
      <c r="F484" s="842"/>
      <c r="G484" s="1388"/>
      <c r="H484" s="934" t="s">
        <v>734</v>
      </c>
      <c r="I484" s="920" t="s">
        <v>353</v>
      </c>
      <c r="J484" s="942">
        <v>100</v>
      </c>
      <c r="K484" s="971">
        <v>107.6</v>
      </c>
      <c r="L484" s="463"/>
    </row>
    <row r="485" spans="1:13" ht="129" customHeight="1" thickBot="1" x14ac:dyDescent="0.3">
      <c r="A485" s="1202"/>
      <c r="B485" s="1397"/>
      <c r="C485" s="1042"/>
      <c r="D485" s="766"/>
      <c r="E485" s="329"/>
      <c r="F485" s="340"/>
      <c r="G485" s="1389"/>
      <c r="H485" s="730" t="s">
        <v>620</v>
      </c>
      <c r="I485" s="921" t="s">
        <v>353</v>
      </c>
      <c r="J485" s="959">
        <v>100</v>
      </c>
      <c r="K485" s="921">
        <v>100.5</v>
      </c>
      <c r="L485" s="993"/>
    </row>
    <row r="486" spans="1:13" ht="19.5" customHeight="1" x14ac:dyDescent="0.25">
      <c r="A486" s="915"/>
      <c r="B486" s="1188" t="s">
        <v>735</v>
      </c>
      <c r="C486" s="1041"/>
      <c r="D486" s="734" t="s">
        <v>225</v>
      </c>
      <c r="E486" s="371">
        <f>E487+E488</f>
        <v>2016800</v>
      </c>
      <c r="F486" s="801">
        <f>F487+F488</f>
        <v>1311773.18</v>
      </c>
      <c r="G486" s="1041"/>
      <c r="H486" s="1041"/>
      <c r="I486" s="1041"/>
      <c r="J486" s="1191"/>
      <c r="K486" s="1041"/>
      <c r="L486" s="981">
        <f>L487+L488</f>
        <v>2016800</v>
      </c>
    </row>
    <row r="487" spans="1:13" ht="19.5" customHeight="1" x14ac:dyDescent="0.25">
      <c r="A487" s="915"/>
      <c r="B487" s="1189"/>
      <c r="C487" s="1111"/>
      <c r="D487" s="934" t="s">
        <v>283</v>
      </c>
      <c r="E487" s="799">
        <f>E490</f>
        <v>0</v>
      </c>
      <c r="F487" s="805">
        <f>F490</f>
        <v>0</v>
      </c>
      <c r="G487" s="1111"/>
      <c r="H487" s="1111"/>
      <c r="I487" s="1111"/>
      <c r="J487" s="1192"/>
      <c r="K487" s="1111"/>
      <c r="L487" s="463">
        <f>L490</f>
        <v>0</v>
      </c>
    </row>
    <row r="488" spans="1:13" ht="19.5" customHeight="1" thickBot="1" x14ac:dyDescent="0.3">
      <c r="A488" s="915"/>
      <c r="B488" s="1190"/>
      <c r="C488" s="1042"/>
      <c r="D488" s="730" t="s">
        <v>282</v>
      </c>
      <c r="E488" s="802">
        <f>E491</f>
        <v>2016800</v>
      </c>
      <c r="F488" s="800">
        <f>F491</f>
        <v>1311773.18</v>
      </c>
      <c r="G488" s="1042"/>
      <c r="H488" s="1042"/>
      <c r="I488" s="1042"/>
      <c r="J488" s="1193"/>
      <c r="K488" s="1042"/>
      <c r="L488" s="993">
        <f>L491</f>
        <v>2016800</v>
      </c>
      <c r="M488" s="860"/>
    </row>
    <row r="489" spans="1:13" ht="52.5" customHeight="1" x14ac:dyDescent="0.25">
      <c r="A489" s="915"/>
      <c r="B489" s="1135" t="s">
        <v>736</v>
      </c>
      <c r="C489" s="1041" t="s">
        <v>180</v>
      </c>
      <c r="D489" s="734" t="s">
        <v>225</v>
      </c>
      <c r="E489" s="349">
        <f>E490+E491</f>
        <v>2016800</v>
      </c>
      <c r="F489" s="341">
        <f>F490+F491</f>
        <v>1311773.18</v>
      </c>
      <c r="G489" s="1041" t="s">
        <v>426</v>
      </c>
      <c r="H489" s="1232" t="s">
        <v>737</v>
      </c>
      <c r="I489" s="1041" t="s">
        <v>371</v>
      </c>
      <c r="J489" s="1191">
        <v>130</v>
      </c>
      <c r="K489" s="1121">
        <v>124</v>
      </c>
      <c r="L489" s="981">
        <f>L490+L491</f>
        <v>2016800</v>
      </c>
      <c r="M489" t="s">
        <v>851</v>
      </c>
    </row>
    <row r="490" spans="1:13" ht="52.5" customHeight="1" x14ac:dyDescent="0.25">
      <c r="A490" s="915"/>
      <c r="B490" s="1136"/>
      <c r="C490" s="1111"/>
      <c r="D490" s="934" t="s">
        <v>283</v>
      </c>
      <c r="E490" s="806">
        <f>0</f>
        <v>0</v>
      </c>
      <c r="F490" s="807">
        <v>0</v>
      </c>
      <c r="G490" s="1111"/>
      <c r="H490" s="1233"/>
      <c r="I490" s="1111"/>
      <c r="J490" s="1192"/>
      <c r="K490" s="1122"/>
      <c r="L490" s="463">
        <f>0</f>
        <v>0</v>
      </c>
    </row>
    <row r="491" spans="1:13" ht="45.75" customHeight="1" thickBot="1" x14ac:dyDescent="0.3">
      <c r="A491" s="915"/>
      <c r="B491" s="1136"/>
      <c r="C491" s="1111"/>
      <c r="D491" s="926" t="s">
        <v>282</v>
      </c>
      <c r="E491" s="832">
        <v>2016800</v>
      </c>
      <c r="F491" s="1026">
        <v>1311773.18</v>
      </c>
      <c r="G491" s="1111"/>
      <c r="H491" s="1233"/>
      <c r="I491" s="1111"/>
      <c r="J491" s="1192"/>
      <c r="K491" s="1122"/>
      <c r="L491" s="964">
        <v>2016800</v>
      </c>
      <c r="M491" s="860"/>
    </row>
    <row r="492" spans="1:13" ht="20.25" customHeight="1" x14ac:dyDescent="0.25">
      <c r="A492" s="915"/>
      <c r="B492" s="1132" t="s">
        <v>738</v>
      </c>
      <c r="C492" s="1041" t="s">
        <v>180</v>
      </c>
      <c r="D492" s="734" t="s">
        <v>225</v>
      </c>
      <c r="E492" s="371">
        <f>E493+E494</f>
        <v>0</v>
      </c>
      <c r="F492" s="801">
        <f>F493+F494</f>
        <v>0</v>
      </c>
      <c r="G492" s="1159"/>
      <c r="H492" s="1159"/>
      <c r="I492" s="1159"/>
      <c r="J492" s="1162"/>
      <c r="K492" s="1154"/>
      <c r="L492" s="981">
        <f>L493+L494</f>
        <v>0</v>
      </c>
    </row>
    <row r="493" spans="1:13" ht="20.25" customHeight="1" x14ac:dyDescent="0.25">
      <c r="A493" s="915"/>
      <c r="B493" s="1133"/>
      <c r="C493" s="1111"/>
      <c r="D493" s="934" t="s">
        <v>283</v>
      </c>
      <c r="E493" s="799">
        <f>E496</f>
        <v>0</v>
      </c>
      <c r="F493" s="805">
        <f>F496</f>
        <v>0</v>
      </c>
      <c r="G493" s="1160"/>
      <c r="H493" s="1160"/>
      <c r="I493" s="1160"/>
      <c r="J493" s="1163"/>
      <c r="K493" s="1155"/>
      <c r="L493" s="463">
        <f>L496</f>
        <v>0</v>
      </c>
    </row>
    <row r="494" spans="1:13" ht="20.25" customHeight="1" thickBot="1" x14ac:dyDescent="0.3">
      <c r="A494" s="915"/>
      <c r="B494" s="1134"/>
      <c r="C494" s="1042"/>
      <c r="D494" s="730" t="s">
        <v>282</v>
      </c>
      <c r="E494" s="802">
        <f>E497</f>
        <v>0</v>
      </c>
      <c r="F494" s="800">
        <f>F497</f>
        <v>0</v>
      </c>
      <c r="G494" s="1161"/>
      <c r="H494" s="1161"/>
      <c r="I494" s="1161"/>
      <c r="J494" s="1164"/>
      <c r="K494" s="1156"/>
      <c r="L494" s="993">
        <f>L497</f>
        <v>0</v>
      </c>
    </row>
    <row r="495" spans="1:13" ht="93" hidden="1" customHeight="1" x14ac:dyDescent="0.25">
      <c r="A495" s="915"/>
      <c r="B495" s="1127" t="s">
        <v>739</v>
      </c>
      <c r="C495" s="1041" t="s">
        <v>180</v>
      </c>
      <c r="D495" s="946" t="s">
        <v>225</v>
      </c>
      <c r="E495" s="846">
        <f>E496+E497</f>
        <v>0</v>
      </c>
      <c r="F495" s="847">
        <f>F496+F497</f>
        <v>0</v>
      </c>
      <c r="G495" s="1041" t="s">
        <v>426</v>
      </c>
      <c r="H495" s="768" t="s">
        <v>740</v>
      </c>
      <c r="I495" s="919" t="s">
        <v>513</v>
      </c>
      <c r="J495" s="871">
        <v>0</v>
      </c>
      <c r="K495" s="956">
        <v>0</v>
      </c>
      <c r="L495" s="981">
        <f>L496+L497</f>
        <v>0</v>
      </c>
    </row>
    <row r="496" spans="1:13" ht="51" hidden="1" customHeight="1" x14ac:dyDescent="0.25">
      <c r="A496" s="915"/>
      <c r="B496" s="1128"/>
      <c r="C496" s="1111"/>
      <c r="D496" s="934" t="s">
        <v>283</v>
      </c>
      <c r="E496" s="799">
        <v>0</v>
      </c>
      <c r="F496" s="853">
        <v>0</v>
      </c>
      <c r="G496" s="1111"/>
      <c r="H496" s="1128" t="s">
        <v>741</v>
      </c>
      <c r="I496" s="1114" t="s">
        <v>513</v>
      </c>
      <c r="J496" s="1115">
        <v>0</v>
      </c>
      <c r="K496" s="1165">
        <v>0</v>
      </c>
      <c r="L496" s="463">
        <v>0</v>
      </c>
    </row>
    <row r="497" spans="1:13" ht="51" hidden="1" customHeight="1" thickBot="1" x14ac:dyDescent="0.3">
      <c r="A497" s="915"/>
      <c r="B497" s="1113"/>
      <c r="C497" s="1042"/>
      <c r="D497" s="730" t="s">
        <v>282</v>
      </c>
      <c r="E497" s="802">
        <v>0</v>
      </c>
      <c r="F497" s="854">
        <v>0</v>
      </c>
      <c r="G497" s="1042"/>
      <c r="H497" s="1113"/>
      <c r="I497" s="1042"/>
      <c r="J497" s="1116"/>
      <c r="K497" s="1123"/>
      <c r="L497" s="879">
        <v>0</v>
      </c>
    </row>
    <row r="498" spans="1:13" ht="18" customHeight="1" x14ac:dyDescent="0.25">
      <c r="A498" s="1129"/>
      <c r="B498" s="1188" t="s">
        <v>95</v>
      </c>
      <c r="C498" s="1045" t="s">
        <v>180</v>
      </c>
      <c r="D498" s="734" t="s">
        <v>225</v>
      </c>
      <c r="E498" s="371">
        <f>E499+E500</f>
        <v>303407867.33000004</v>
      </c>
      <c r="F498" s="801">
        <f>F499+F500</f>
        <v>280085700.45999998</v>
      </c>
      <c r="G498" s="1045"/>
      <c r="H498" s="1045"/>
      <c r="I498" s="1045"/>
      <c r="J498" s="1194"/>
      <c r="K498" s="1045"/>
      <c r="L498" s="981">
        <f>L499+L500</f>
        <v>303462813.33000004</v>
      </c>
    </row>
    <row r="499" spans="1:13" ht="18.75" customHeight="1" x14ac:dyDescent="0.25">
      <c r="A499" s="1130"/>
      <c r="B499" s="1189"/>
      <c r="C499" s="1046"/>
      <c r="D499" s="727" t="s">
        <v>283</v>
      </c>
      <c r="E499" s="770">
        <f>E502+E514</f>
        <v>303407867.33000004</v>
      </c>
      <c r="F499" s="803">
        <f>F502+F514</f>
        <v>280085700.45999998</v>
      </c>
      <c r="G499" s="1046"/>
      <c r="H499" s="1046"/>
      <c r="I499" s="1046"/>
      <c r="J499" s="1195"/>
      <c r="K499" s="1046"/>
      <c r="L499" s="988">
        <f>L502+L514</f>
        <v>303462813.33000004</v>
      </c>
      <c r="M499" s="860"/>
    </row>
    <row r="500" spans="1:13" ht="18.75" customHeight="1" thickBot="1" x14ac:dyDescent="0.3">
      <c r="A500" s="1130"/>
      <c r="B500" s="1190"/>
      <c r="C500" s="1047"/>
      <c r="D500" s="771" t="s">
        <v>282</v>
      </c>
      <c r="E500" s="849">
        <f>E503+E515</f>
        <v>0</v>
      </c>
      <c r="F500" s="803">
        <f>F503+F515</f>
        <v>0</v>
      </c>
      <c r="G500" s="1047"/>
      <c r="H500" s="1047"/>
      <c r="I500" s="1047"/>
      <c r="J500" s="1196"/>
      <c r="K500" s="1047"/>
      <c r="L500" s="997">
        <f>L503+L515</f>
        <v>0</v>
      </c>
    </row>
    <row r="501" spans="1:13" ht="18" customHeight="1" x14ac:dyDescent="0.25">
      <c r="A501" s="1130"/>
      <c r="B501" s="1188" t="s">
        <v>86</v>
      </c>
      <c r="C501" s="1041"/>
      <c r="D501" s="734" t="s">
        <v>225</v>
      </c>
      <c r="E501" s="371">
        <f>E502+E503</f>
        <v>2439234</v>
      </c>
      <c r="F501" s="801">
        <f>F502+F503</f>
        <v>1725938</v>
      </c>
      <c r="G501" s="1041"/>
      <c r="H501" s="1041"/>
      <c r="I501" s="1041"/>
      <c r="J501" s="1191"/>
      <c r="K501" s="1041"/>
      <c r="L501" s="981">
        <f>L502+L503</f>
        <v>2494180</v>
      </c>
    </row>
    <row r="502" spans="1:13" ht="18" customHeight="1" x14ac:dyDescent="0.25">
      <c r="A502" s="1130"/>
      <c r="B502" s="1189"/>
      <c r="C502" s="1111"/>
      <c r="D502" s="934" t="s">
        <v>283</v>
      </c>
      <c r="E502" s="799">
        <f>E505+E508+E511</f>
        <v>2439234</v>
      </c>
      <c r="F502" s="805">
        <f>F505+F508+F511</f>
        <v>1725938</v>
      </c>
      <c r="G502" s="1111"/>
      <c r="H502" s="1111"/>
      <c r="I502" s="1111"/>
      <c r="J502" s="1192"/>
      <c r="K502" s="1111"/>
      <c r="L502" s="463">
        <f>L505+L508+L511</f>
        <v>2494180</v>
      </c>
    </row>
    <row r="503" spans="1:13" ht="18" customHeight="1" thickBot="1" x14ac:dyDescent="0.3">
      <c r="A503" s="1130"/>
      <c r="B503" s="1190"/>
      <c r="C503" s="1042"/>
      <c r="D503" s="730" t="s">
        <v>282</v>
      </c>
      <c r="E503" s="802">
        <f>E506+E509+E512</f>
        <v>0</v>
      </c>
      <c r="F503" s="800">
        <f>F506+F509+F512</f>
        <v>0</v>
      </c>
      <c r="G503" s="1042"/>
      <c r="H503" s="1042"/>
      <c r="I503" s="1042"/>
      <c r="J503" s="1193"/>
      <c r="K503" s="1042"/>
      <c r="L503" s="993">
        <f>L506+L509+L512</f>
        <v>0</v>
      </c>
    </row>
    <row r="504" spans="1:13" ht="50.25" customHeight="1" x14ac:dyDescent="0.25">
      <c r="A504" s="1130"/>
      <c r="B504" s="1135" t="s">
        <v>742</v>
      </c>
      <c r="C504" s="1041" t="s">
        <v>180</v>
      </c>
      <c r="D504" s="734" t="s">
        <v>225</v>
      </c>
      <c r="E504" s="349">
        <f>E505+E506</f>
        <v>1424288</v>
      </c>
      <c r="F504" s="341">
        <f>F505+F506</f>
        <v>1057688</v>
      </c>
      <c r="G504" s="1041" t="s">
        <v>426</v>
      </c>
      <c r="H504" s="1127" t="s">
        <v>743</v>
      </c>
      <c r="I504" s="1041" t="s">
        <v>357</v>
      </c>
      <c r="J504" s="1191">
        <v>59</v>
      </c>
      <c r="K504" s="1121">
        <v>58</v>
      </c>
      <c r="L504" s="981">
        <f>L505+L506</f>
        <v>1424288</v>
      </c>
    </row>
    <row r="505" spans="1:13" ht="50.25" customHeight="1" x14ac:dyDescent="0.25">
      <c r="A505" s="1130"/>
      <c r="B505" s="1136"/>
      <c r="C505" s="1111"/>
      <c r="D505" s="934" t="s">
        <v>283</v>
      </c>
      <c r="E505" s="806">
        <v>1424288</v>
      </c>
      <c r="F505" s="807">
        <v>1057688</v>
      </c>
      <c r="G505" s="1111"/>
      <c r="H505" s="1128"/>
      <c r="I505" s="1111"/>
      <c r="J505" s="1192"/>
      <c r="K505" s="1122"/>
      <c r="L505" s="463">
        <v>1424288</v>
      </c>
      <c r="M505" s="860"/>
    </row>
    <row r="506" spans="1:13" ht="234" customHeight="1" thickBot="1" x14ac:dyDescent="0.3">
      <c r="A506" s="1130"/>
      <c r="B506" s="1137"/>
      <c r="C506" s="1042"/>
      <c r="D506" s="730" t="s">
        <v>282</v>
      </c>
      <c r="E506" s="809">
        <f>0</f>
        <v>0</v>
      </c>
      <c r="F506" s="810">
        <v>0</v>
      </c>
      <c r="G506" s="1042"/>
      <c r="H506" s="1113"/>
      <c r="I506" s="1042"/>
      <c r="J506" s="1193"/>
      <c r="K506" s="1123"/>
      <c r="L506" s="993">
        <f>0</f>
        <v>0</v>
      </c>
    </row>
    <row r="507" spans="1:13" ht="42" customHeight="1" x14ac:dyDescent="0.25">
      <c r="A507" s="1130"/>
      <c r="B507" s="1135" t="s">
        <v>744</v>
      </c>
      <c r="C507" s="1041" t="s">
        <v>180</v>
      </c>
      <c r="D507" s="734" t="s">
        <v>225</v>
      </c>
      <c r="E507" s="349">
        <f>E508+E509</f>
        <v>534946</v>
      </c>
      <c r="F507" s="341">
        <f>F508+F509</f>
        <v>267300</v>
      </c>
      <c r="G507" s="1041" t="s">
        <v>426</v>
      </c>
      <c r="H507" s="1127" t="s">
        <v>745</v>
      </c>
      <c r="I507" s="1041" t="s">
        <v>357</v>
      </c>
      <c r="J507" s="1119">
        <v>247</v>
      </c>
      <c r="K507" s="1121">
        <v>198</v>
      </c>
      <c r="L507" s="981">
        <f>L508+L509</f>
        <v>534946</v>
      </c>
    </row>
    <row r="508" spans="1:13" ht="38.25" customHeight="1" x14ac:dyDescent="0.25">
      <c r="A508" s="1130"/>
      <c r="B508" s="1136"/>
      <c r="C508" s="1111"/>
      <c r="D508" s="934" t="s">
        <v>283</v>
      </c>
      <c r="E508" s="806">
        <v>534946</v>
      </c>
      <c r="F508" s="807">
        <v>267300</v>
      </c>
      <c r="G508" s="1111"/>
      <c r="H508" s="1128"/>
      <c r="I508" s="1111"/>
      <c r="J508" s="1120"/>
      <c r="K508" s="1122"/>
      <c r="L508" s="463">
        <v>534946</v>
      </c>
    </row>
    <row r="509" spans="1:13" ht="69" customHeight="1" thickBot="1" x14ac:dyDescent="0.3">
      <c r="A509" s="1130"/>
      <c r="B509" s="1137"/>
      <c r="C509" s="1042"/>
      <c r="D509" s="730" t="s">
        <v>282</v>
      </c>
      <c r="E509" s="809">
        <f>0</f>
        <v>0</v>
      </c>
      <c r="F509" s="810">
        <v>0</v>
      </c>
      <c r="G509" s="1042"/>
      <c r="H509" s="1113"/>
      <c r="I509" s="1042"/>
      <c r="J509" s="1116"/>
      <c r="K509" s="1123"/>
      <c r="L509" s="993">
        <f>0</f>
        <v>0</v>
      </c>
    </row>
    <row r="510" spans="1:13" ht="175.5" customHeight="1" thickBot="1" x14ac:dyDescent="0.3">
      <c r="A510" s="1130"/>
      <c r="B510" s="1136" t="s">
        <v>746</v>
      </c>
      <c r="C510" s="1041" t="s">
        <v>180</v>
      </c>
      <c r="D510" s="946" t="s">
        <v>225</v>
      </c>
      <c r="E510" s="846">
        <f>E511+E512</f>
        <v>480000</v>
      </c>
      <c r="F510" s="847">
        <f>F511+F512</f>
        <v>400950</v>
      </c>
      <c r="G510" s="1111" t="s">
        <v>426</v>
      </c>
      <c r="H510" s="50" t="s">
        <v>747</v>
      </c>
      <c r="I510" s="654" t="s">
        <v>357</v>
      </c>
      <c r="J510" s="952">
        <v>215</v>
      </c>
      <c r="K510" s="956">
        <v>154</v>
      </c>
      <c r="L510" s="893">
        <f>L511+L512</f>
        <v>534946</v>
      </c>
    </row>
    <row r="511" spans="1:13" ht="145.5" customHeight="1" x14ac:dyDescent="0.25">
      <c r="A511" s="1130"/>
      <c r="B511" s="1136"/>
      <c r="C511" s="1111"/>
      <c r="D511" s="934" t="s">
        <v>283</v>
      </c>
      <c r="E511" s="806">
        <v>480000</v>
      </c>
      <c r="F511" s="807">
        <v>400950</v>
      </c>
      <c r="G511" s="1111"/>
      <c r="H511" s="1128" t="s">
        <v>748</v>
      </c>
      <c r="I511" s="61" t="s">
        <v>357</v>
      </c>
      <c r="J511" s="917">
        <v>115</v>
      </c>
      <c r="K511" s="933">
        <v>52</v>
      </c>
      <c r="L511" s="805">
        <v>534946</v>
      </c>
    </row>
    <row r="512" spans="1:13" ht="34.5" customHeight="1" thickBot="1" x14ac:dyDescent="0.3">
      <c r="A512" s="1130"/>
      <c r="B512" s="1136"/>
      <c r="C512" s="1042"/>
      <c r="D512" s="926" t="s">
        <v>282</v>
      </c>
      <c r="E512" s="832">
        <f>0</f>
        <v>0</v>
      </c>
      <c r="F512" s="704">
        <v>0</v>
      </c>
      <c r="G512" s="1042"/>
      <c r="H512" s="1113"/>
      <c r="I512" s="766"/>
      <c r="J512" s="845"/>
      <c r="K512" s="880"/>
      <c r="L512" s="702">
        <v>0</v>
      </c>
    </row>
    <row r="513" spans="1:13" ht="18" customHeight="1" x14ac:dyDescent="0.25">
      <c r="A513" s="1130"/>
      <c r="B513" s="1188" t="s">
        <v>749</v>
      </c>
      <c r="C513" s="1045" t="s">
        <v>180</v>
      </c>
      <c r="D513" s="734" t="s">
        <v>225</v>
      </c>
      <c r="E513" s="371">
        <f>E514+E515</f>
        <v>300968633.33000004</v>
      </c>
      <c r="F513" s="801">
        <f>F514+F515</f>
        <v>278359762.45999998</v>
      </c>
      <c r="G513" s="1045"/>
      <c r="H513" s="1045"/>
      <c r="I513" s="1045"/>
      <c r="J513" s="1194"/>
      <c r="K513" s="1045"/>
      <c r="L513" s="981">
        <f>L514+L515</f>
        <v>300968633.33000004</v>
      </c>
    </row>
    <row r="514" spans="1:13" ht="18.75" customHeight="1" x14ac:dyDescent="0.25">
      <c r="A514" s="1130"/>
      <c r="B514" s="1189"/>
      <c r="C514" s="1046"/>
      <c r="D514" s="727" t="s">
        <v>283</v>
      </c>
      <c r="E514" s="770">
        <f>E517+E520+E523+E526</f>
        <v>300968633.33000004</v>
      </c>
      <c r="F514" s="803">
        <f>F517+F520+F523+F526</f>
        <v>278359762.45999998</v>
      </c>
      <c r="G514" s="1046"/>
      <c r="H514" s="1046"/>
      <c r="I514" s="1046"/>
      <c r="J514" s="1195"/>
      <c r="K514" s="1046"/>
      <c r="L514" s="988">
        <f>L517+L520+L523+L526</f>
        <v>300968633.33000004</v>
      </c>
      <c r="M514" s="860"/>
    </row>
    <row r="515" spans="1:13" ht="18.75" customHeight="1" thickBot="1" x14ac:dyDescent="0.3">
      <c r="A515" s="1130"/>
      <c r="B515" s="1190"/>
      <c r="C515" s="1047"/>
      <c r="D515" s="771" t="s">
        <v>282</v>
      </c>
      <c r="E515" s="849">
        <f>E518+E521+E524+E527</f>
        <v>0</v>
      </c>
      <c r="F515" s="803">
        <f>F518+F521+F524+F527</f>
        <v>0</v>
      </c>
      <c r="G515" s="1047"/>
      <c r="H515" s="1047"/>
      <c r="I515" s="1047"/>
      <c r="J515" s="1196"/>
      <c r="K515" s="1047"/>
      <c r="L515" s="997">
        <f>L518+L521+L524+L527</f>
        <v>0</v>
      </c>
    </row>
    <row r="516" spans="1:13" ht="23.25" customHeight="1" x14ac:dyDescent="0.25">
      <c r="A516" s="1130"/>
      <c r="B516" s="1135" t="s">
        <v>750</v>
      </c>
      <c r="C516" s="1041" t="s">
        <v>180</v>
      </c>
      <c r="D516" s="734" t="s">
        <v>225</v>
      </c>
      <c r="E516" s="349">
        <f>E517+E518</f>
        <v>21868435.460000001</v>
      </c>
      <c r="F516" s="341">
        <f>F517+F518</f>
        <v>19023083.07</v>
      </c>
      <c r="G516" s="1041" t="s">
        <v>426</v>
      </c>
      <c r="H516" s="1127" t="s">
        <v>751</v>
      </c>
      <c r="I516" s="1041" t="s">
        <v>357</v>
      </c>
      <c r="J516" s="1191">
        <v>300</v>
      </c>
      <c r="K516" s="1121">
        <v>300</v>
      </c>
      <c r="L516" s="981">
        <f>L517+L518</f>
        <v>21868435.460000001</v>
      </c>
    </row>
    <row r="517" spans="1:13" ht="23.25" customHeight="1" x14ac:dyDescent="0.25">
      <c r="A517" s="1130"/>
      <c r="B517" s="1136"/>
      <c r="C517" s="1111"/>
      <c r="D517" s="934" t="s">
        <v>283</v>
      </c>
      <c r="E517" s="806">
        <v>21868435.460000001</v>
      </c>
      <c r="F517" s="807">
        <v>19023083.07</v>
      </c>
      <c r="G517" s="1111"/>
      <c r="H517" s="1128"/>
      <c r="I517" s="1111"/>
      <c r="J517" s="1192"/>
      <c r="K517" s="1122"/>
      <c r="L517" s="463">
        <v>21868435.460000001</v>
      </c>
    </row>
    <row r="518" spans="1:13" ht="23.25" customHeight="1" thickBot="1" x14ac:dyDescent="0.3">
      <c r="A518" s="1130"/>
      <c r="B518" s="1137"/>
      <c r="C518" s="1042"/>
      <c r="D518" s="730" t="s">
        <v>282</v>
      </c>
      <c r="E518" s="809">
        <f>0</f>
        <v>0</v>
      </c>
      <c r="F518" s="810">
        <v>0</v>
      </c>
      <c r="G518" s="1042"/>
      <c r="H518" s="1113"/>
      <c r="I518" s="1042"/>
      <c r="J518" s="1193"/>
      <c r="K518" s="1123"/>
      <c r="L518" s="993">
        <v>0</v>
      </c>
    </row>
    <row r="519" spans="1:13" ht="45.75" customHeight="1" x14ac:dyDescent="0.25">
      <c r="A519" s="1130"/>
      <c r="B519" s="1135" t="s">
        <v>752</v>
      </c>
      <c r="C519" s="1041" t="s">
        <v>180</v>
      </c>
      <c r="D519" s="734" t="s">
        <v>225</v>
      </c>
      <c r="E519" s="349">
        <f>E520+E521</f>
        <v>18348073.600000001</v>
      </c>
      <c r="F519" s="341">
        <f>F520+F521</f>
        <v>14155524.050000001</v>
      </c>
      <c r="G519" s="1041" t="s">
        <v>426</v>
      </c>
      <c r="H519" s="1127" t="s">
        <v>753</v>
      </c>
      <c r="I519" s="1041" t="s">
        <v>357</v>
      </c>
      <c r="J519" s="1191">
        <v>14</v>
      </c>
      <c r="K519" s="1121">
        <v>14</v>
      </c>
      <c r="L519" s="981">
        <f>L520+L521</f>
        <v>18348073.600000001</v>
      </c>
    </row>
    <row r="520" spans="1:13" ht="45.75" customHeight="1" x14ac:dyDescent="0.25">
      <c r="A520" s="1130"/>
      <c r="B520" s="1136"/>
      <c r="C520" s="1111"/>
      <c r="D520" s="934" t="s">
        <v>283</v>
      </c>
      <c r="E520" s="806">
        <v>18348073.600000001</v>
      </c>
      <c r="F520" s="807">
        <v>14155524.050000001</v>
      </c>
      <c r="G520" s="1111"/>
      <c r="H520" s="1128"/>
      <c r="I520" s="1111"/>
      <c r="J520" s="1192"/>
      <c r="K520" s="1122"/>
      <c r="L520" s="463">
        <v>18348073.600000001</v>
      </c>
    </row>
    <row r="521" spans="1:13" ht="44.25" customHeight="1" thickBot="1" x14ac:dyDescent="0.3">
      <c r="A521" s="1130"/>
      <c r="B521" s="1137"/>
      <c r="C521" s="1042"/>
      <c r="D521" s="730" t="s">
        <v>282</v>
      </c>
      <c r="E521" s="809">
        <f>0</f>
        <v>0</v>
      </c>
      <c r="F521" s="810">
        <v>0</v>
      </c>
      <c r="G521" s="1042"/>
      <c r="H521" s="1113"/>
      <c r="I521" s="1042"/>
      <c r="J521" s="1193"/>
      <c r="K521" s="1123"/>
      <c r="L521" s="993">
        <f>0</f>
        <v>0</v>
      </c>
    </row>
    <row r="522" spans="1:13" ht="63.75" customHeight="1" x14ac:dyDescent="0.25">
      <c r="A522" s="1130"/>
      <c r="B522" s="1135" t="s">
        <v>754</v>
      </c>
      <c r="C522" s="1041" t="s">
        <v>180</v>
      </c>
      <c r="D522" s="734" t="s">
        <v>225</v>
      </c>
      <c r="E522" s="349">
        <f>E523+E524</f>
        <v>260652124.27000001</v>
      </c>
      <c r="F522" s="341">
        <f>F523+F524</f>
        <v>245179624.88</v>
      </c>
      <c r="G522" s="1041" t="s">
        <v>426</v>
      </c>
      <c r="H522" s="1127" t="s">
        <v>755</v>
      </c>
      <c r="I522" s="1041" t="s">
        <v>357</v>
      </c>
      <c r="J522" s="1191">
        <v>127181</v>
      </c>
      <c r="K522" s="1121">
        <v>53636</v>
      </c>
      <c r="L522" s="981">
        <f>L523+L524</f>
        <v>260652124.27000001</v>
      </c>
    </row>
    <row r="523" spans="1:13" ht="63.75" customHeight="1" x14ac:dyDescent="0.25">
      <c r="A523" s="1130"/>
      <c r="B523" s="1136"/>
      <c r="C523" s="1111"/>
      <c r="D523" s="934" t="s">
        <v>283</v>
      </c>
      <c r="E523" s="806">
        <v>260652124.27000001</v>
      </c>
      <c r="F523" s="807">
        <v>245179624.88</v>
      </c>
      <c r="G523" s="1111"/>
      <c r="H523" s="1128"/>
      <c r="I523" s="1111"/>
      <c r="J523" s="1192"/>
      <c r="K523" s="1122"/>
      <c r="L523" s="463">
        <v>260652124.27000001</v>
      </c>
    </row>
    <row r="524" spans="1:13" ht="35.25" customHeight="1" thickBot="1" x14ac:dyDescent="0.3">
      <c r="A524" s="1130"/>
      <c r="B524" s="1137"/>
      <c r="C524" s="1042"/>
      <c r="D524" s="730" t="s">
        <v>282</v>
      </c>
      <c r="E524" s="809">
        <f>0</f>
        <v>0</v>
      </c>
      <c r="F524" s="810">
        <v>0</v>
      </c>
      <c r="G524" s="1042"/>
      <c r="H524" s="1113"/>
      <c r="I524" s="1042"/>
      <c r="J524" s="1193"/>
      <c r="K524" s="1123"/>
      <c r="L524" s="993">
        <f>0</f>
        <v>0</v>
      </c>
    </row>
    <row r="525" spans="1:13" ht="63.75" customHeight="1" x14ac:dyDescent="0.25">
      <c r="A525" s="1130"/>
      <c r="B525" s="1135" t="s">
        <v>756</v>
      </c>
      <c r="C525" s="1041" t="s">
        <v>180</v>
      </c>
      <c r="D525" s="734" t="s">
        <v>225</v>
      </c>
      <c r="E525" s="349">
        <f>E526+E527</f>
        <v>100000</v>
      </c>
      <c r="F525" s="341">
        <f>F526+F527</f>
        <v>1530.46</v>
      </c>
      <c r="G525" s="1041" t="s">
        <v>426</v>
      </c>
      <c r="H525" s="1127" t="s">
        <v>757</v>
      </c>
      <c r="I525" s="1041" t="s">
        <v>357</v>
      </c>
      <c r="J525" s="1191">
        <v>50</v>
      </c>
      <c r="K525" s="1121">
        <v>2</v>
      </c>
      <c r="L525" s="981">
        <f>L526+L527</f>
        <v>100000</v>
      </c>
    </row>
    <row r="526" spans="1:13" ht="63.75" customHeight="1" x14ac:dyDescent="0.25">
      <c r="A526" s="1130"/>
      <c r="B526" s="1136"/>
      <c r="C526" s="1111"/>
      <c r="D526" s="934" t="s">
        <v>283</v>
      </c>
      <c r="E526" s="806">
        <v>100000</v>
      </c>
      <c r="F526" s="807">
        <v>1530.46</v>
      </c>
      <c r="G526" s="1111"/>
      <c r="H526" s="1128"/>
      <c r="I526" s="1111"/>
      <c r="J526" s="1192"/>
      <c r="K526" s="1122"/>
      <c r="L526" s="463">
        <v>100000</v>
      </c>
    </row>
    <row r="527" spans="1:13" ht="48.75" customHeight="1" thickBot="1" x14ac:dyDescent="0.3">
      <c r="A527" s="1130"/>
      <c r="B527" s="1137"/>
      <c r="C527" s="1042"/>
      <c r="D527" s="730" t="s">
        <v>282</v>
      </c>
      <c r="E527" s="809">
        <f>0</f>
        <v>0</v>
      </c>
      <c r="F527" s="810">
        <v>0</v>
      </c>
      <c r="G527" s="1042"/>
      <c r="H527" s="1113"/>
      <c r="I527" s="1042"/>
      <c r="J527" s="1193"/>
      <c r="K527" s="1123"/>
      <c r="L527" s="993">
        <f>0</f>
        <v>0</v>
      </c>
    </row>
    <row r="528" spans="1:13" ht="18.75" customHeight="1" x14ac:dyDescent="0.25">
      <c r="A528" s="1129"/>
      <c r="B528" s="1188" t="s">
        <v>89</v>
      </c>
      <c r="C528" s="1045" t="s">
        <v>180</v>
      </c>
      <c r="D528" s="734" t="s">
        <v>225</v>
      </c>
      <c r="E528" s="371">
        <f>E529+E530+E531</f>
        <v>15347407331.25</v>
      </c>
      <c r="F528" s="801">
        <f>F529+F530+F531</f>
        <v>10079672414.41</v>
      </c>
      <c r="G528" s="1045"/>
      <c r="H528" s="1045"/>
      <c r="I528" s="1045"/>
      <c r="J528" s="1200"/>
      <c r="K528" s="1045"/>
      <c r="L528" s="979">
        <f>L529+L530+L531</f>
        <v>15347407331.25</v>
      </c>
    </row>
    <row r="529" spans="1:12" ht="18.75" customHeight="1" x14ac:dyDescent="0.25">
      <c r="A529" s="1130"/>
      <c r="B529" s="1189"/>
      <c r="C529" s="1046"/>
      <c r="D529" s="727" t="s">
        <v>283</v>
      </c>
      <c r="E529" s="770">
        <f>E533</f>
        <v>3472371300</v>
      </c>
      <c r="F529" s="803">
        <f>F533</f>
        <v>2604278700</v>
      </c>
      <c r="G529" s="1046"/>
      <c r="H529" s="1046"/>
      <c r="I529" s="1046"/>
      <c r="J529" s="1173"/>
      <c r="K529" s="1046"/>
      <c r="L529" s="980">
        <f>L533</f>
        <v>3472371300</v>
      </c>
    </row>
    <row r="530" spans="1:12" ht="18.75" customHeight="1" x14ac:dyDescent="0.25">
      <c r="A530" s="1130"/>
      <c r="B530" s="1189"/>
      <c r="C530" s="1046"/>
      <c r="D530" s="727" t="s">
        <v>282</v>
      </c>
      <c r="E530" s="770">
        <f>E534</f>
        <v>0</v>
      </c>
      <c r="F530" s="803">
        <f>F534</f>
        <v>0</v>
      </c>
      <c r="G530" s="1046"/>
      <c r="H530" s="1046"/>
      <c r="I530" s="1046"/>
      <c r="J530" s="1173"/>
      <c r="K530" s="1046"/>
      <c r="L530" s="1000">
        <f>L534</f>
        <v>0</v>
      </c>
    </row>
    <row r="531" spans="1:12" ht="18.75" customHeight="1" thickBot="1" x14ac:dyDescent="0.3">
      <c r="A531" s="1130"/>
      <c r="B531" s="1190"/>
      <c r="C531" s="1047"/>
      <c r="D531" s="938" t="s">
        <v>541</v>
      </c>
      <c r="E531" s="855">
        <f>E541</f>
        <v>11875036031.25</v>
      </c>
      <c r="F531" s="892">
        <f>F541</f>
        <v>7475393714.4099998</v>
      </c>
      <c r="G531" s="1047"/>
      <c r="H531" s="1047"/>
      <c r="I531" s="1047"/>
      <c r="J531" s="1174"/>
      <c r="K531" s="1047"/>
      <c r="L531" s="997">
        <f>L541</f>
        <v>11875036031.25</v>
      </c>
    </row>
    <row r="532" spans="1:12" ht="19.5" customHeight="1" x14ac:dyDescent="0.25">
      <c r="A532" s="1130"/>
      <c r="B532" s="1188" t="s">
        <v>758</v>
      </c>
      <c r="C532" s="1041"/>
      <c r="D532" s="734" t="s">
        <v>225</v>
      </c>
      <c r="E532" s="371">
        <f>E533+E534</f>
        <v>3472371300</v>
      </c>
      <c r="F532" s="801">
        <f>F533+F534</f>
        <v>2604278700</v>
      </c>
      <c r="G532" s="1041"/>
      <c r="H532" s="1041"/>
      <c r="I532" s="1041"/>
      <c r="J532" s="1119"/>
      <c r="K532" s="1041"/>
      <c r="L532" s="979">
        <f>L533+L534</f>
        <v>3472371300</v>
      </c>
    </row>
    <row r="533" spans="1:12" ht="19.5" customHeight="1" x14ac:dyDescent="0.25">
      <c r="A533" s="1130"/>
      <c r="B533" s="1189"/>
      <c r="C533" s="1111"/>
      <c r="D533" s="934" t="s">
        <v>283</v>
      </c>
      <c r="E533" s="799">
        <f>E536</f>
        <v>3472371300</v>
      </c>
      <c r="F533" s="805">
        <f>F536</f>
        <v>2604278700</v>
      </c>
      <c r="G533" s="1111"/>
      <c r="H533" s="1111"/>
      <c r="I533" s="1111"/>
      <c r="J533" s="1120"/>
      <c r="K533" s="1111"/>
      <c r="L533" s="808">
        <f>L536</f>
        <v>3472371300</v>
      </c>
    </row>
    <row r="534" spans="1:12" ht="19.5" customHeight="1" thickBot="1" x14ac:dyDescent="0.3">
      <c r="A534" s="1130"/>
      <c r="B534" s="1190"/>
      <c r="C534" s="1042"/>
      <c r="D534" s="730" t="s">
        <v>282</v>
      </c>
      <c r="E534" s="802">
        <f>E537</f>
        <v>0</v>
      </c>
      <c r="F534" s="800">
        <f>F537</f>
        <v>0</v>
      </c>
      <c r="G534" s="1042"/>
      <c r="H534" s="1042"/>
      <c r="I534" s="1042"/>
      <c r="J534" s="1116"/>
      <c r="K534" s="1042"/>
      <c r="L534" s="982">
        <f>L537</f>
        <v>0</v>
      </c>
    </row>
    <row r="535" spans="1:12" ht="28.5" customHeight="1" x14ac:dyDescent="0.25">
      <c r="A535" s="1130"/>
      <c r="B535" s="1136" t="s">
        <v>759</v>
      </c>
      <c r="C535" s="1041" t="s">
        <v>180</v>
      </c>
      <c r="D535" s="946" t="s">
        <v>225</v>
      </c>
      <c r="E535" s="846">
        <f>E536+E537</f>
        <v>3472371300</v>
      </c>
      <c r="F535" s="847">
        <f>F536+F537</f>
        <v>2604278700</v>
      </c>
      <c r="G535" s="1041" t="s">
        <v>426</v>
      </c>
      <c r="H535" s="1127" t="s">
        <v>370</v>
      </c>
      <c r="I535" s="1041" t="s">
        <v>357</v>
      </c>
      <c r="J535" s="1191">
        <v>493529</v>
      </c>
      <c r="K535" s="1119">
        <v>493529</v>
      </c>
      <c r="L535" s="981">
        <f>L536+L537</f>
        <v>3472371300</v>
      </c>
    </row>
    <row r="536" spans="1:12" ht="28.5" customHeight="1" x14ac:dyDescent="0.25">
      <c r="A536" s="1130"/>
      <c r="B536" s="1136"/>
      <c r="C536" s="1111"/>
      <c r="D536" s="934" t="s">
        <v>283</v>
      </c>
      <c r="E536" s="806">
        <v>3472371300</v>
      </c>
      <c r="F536" s="807">
        <v>2604278700</v>
      </c>
      <c r="G536" s="1111"/>
      <c r="H536" s="1128"/>
      <c r="I536" s="1111"/>
      <c r="J536" s="1192"/>
      <c r="K536" s="1120"/>
      <c r="L536" s="463">
        <v>3472371300</v>
      </c>
    </row>
    <row r="537" spans="1:12" ht="33" customHeight="1" thickBot="1" x14ac:dyDescent="0.3">
      <c r="A537" s="1131"/>
      <c r="B537" s="1137"/>
      <c r="C537" s="1042"/>
      <c r="D537" s="730" t="s">
        <v>282</v>
      </c>
      <c r="E537" s="809">
        <f>0</f>
        <v>0</v>
      </c>
      <c r="F537" s="810">
        <v>0</v>
      </c>
      <c r="G537" s="1042"/>
      <c r="H537" s="1113"/>
      <c r="I537" s="1042"/>
      <c r="J537" s="1193"/>
      <c r="K537" s="1116"/>
      <c r="L537" s="993">
        <f>0</f>
        <v>0</v>
      </c>
    </row>
    <row r="538" spans="1:12" ht="28.5" customHeight="1" x14ac:dyDescent="0.25">
      <c r="A538" s="914"/>
      <c r="B538" s="1188" t="s">
        <v>760</v>
      </c>
      <c r="C538" s="1041" t="s">
        <v>180</v>
      </c>
      <c r="D538" s="734" t="s">
        <v>225</v>
      </c>
      <c r="E538" s="349">
        <f>E539+E540</f>
        <v>0</v>
      </c>
      <c r="F538" s="341">
        <f>F539+F540</f>
        <v>0</v>
      </c>
      <c r="G538" s="1041"/>
      <c r="H538" s="1041"/>
      <c r="I538" s="1041"/>
      <c r="J538" s="1119"/>
      <c r="K538" s="1121"/>
      <c r="L538" s="981">
        <f>L539+L540</f>
        <v>0</v>
      </c>
    </row>
    <row r="539" spans="1:12" ht="28.5" customHeight="1" x14ac:dyDescent="0.25">
      <c r="A539" s="914"/>
      <c r="B539" s="1189"/>
      <c r="C539" s="1111"/>
      <c r="D539" s="934" t="s">
        <v>283</v>
      </c>
      <c r="E539" s="806">
        <f>'таблица (всего)'!G124</f>
        <v>0</v>
      </c>
      <c r="F539" s="807"/>
      <c r="G539" s="1111"/>
      <c r="H539" s="1111"/>
      <c r="I539" s="1111"/>
      <c r="J539" s="1120"/>
      <c r="K539" s="1122"/>
      <c r="L539" s="463">
        <v>0</v>
      </c>
    </row>
    <row r="540" spans="1:12" ht="28.5" customHeight="1" x14ac:dyDescent="0.25">
      <c r="A540" s="914"/>
      <c r="B540" s="1189"/>
      <c r="C540" s="1111"/>
      <c r="D540" s="934" t="s">
        <v>282</v>
      </c>
      <c r="E540" s="806">
        <f>0</f>
        <v>0</v>
      </c>
      <c r="F540" s="807"/>
      <c r="G540" s="1111"/>
      <c r="H540" s="1111"/>
      <c r="I540" s="1111"/>
      <c r="J540" s="1120"/>
      <c r="K540" s="1122"/>
      <c r="L540" s="463">
        <v>0</v>
      </c>
    </row>
    <row r="541" spans="1:12" ht="28.5" customHeight="1" thickBot="1" x14ac:dyDescent="0.3">
      <c r="A541" s="914"/>
      <c r="B541" s="1190"/>
      <c r="C541" s="1042"/>
      <c r="D541" s="938" t="s">
        <v>541</v>
      </c>
      <c r="E541" s="849">
        <f>E542+E545</f>
        <v>11875036031.25</v>
      </c>
      <c r="F541" s="856">
        <f>F542+F545</f>
        <v>7475393714.4099998</v>
      </c>
      <c r="G541" s="1042"/>
      <c r="H541" s="1042"/>
      <c r="I541" s="1042"/>
      <c r="J541" s="1116"/>
      <c r="K541" s="1123"/>
      <c r="L541" s="849">
        <f>L542+L545</f>
        <v>11875036031.25</v>
      </c>
    </row>
    <row r="542" spans="1:12" ht="57" customHeight="1" x14ac:dyDescent="0.25">
      <c r="A542" s="914"/>
      <c r="B542" s="1170" t="s">
        <v>761</v>
      </c>
      <c r="C542" s="1159" t="s">
        <v>180</v>
      </c>
      <c r="D542" s="748" t="s">
        <v>349</v>
      </c>
      <c r="E542" s="371">
        <f>E543+E544</f>
        <v>11873144081.34</v>
      </c>
      <c r="F542" s="341">
        <f>F543+F544</f>
        <v>7475393714.4099998</v>
      </c>
      <c r="G542" s="1041" t="s">
        <v>426</v>
      </c>
      <c r="H542" s="768" t="s">
        <v>762</v>
      </c>
      <c r="I542" s="919" t="s">
        <v>538</v>
      </c>
      <c r="J542" s="952">
        <v>173788</v>
      </c>
      <c r="K542" s="956">
        <v>119572</v>
      </c>
      <c r="L542" s="981">
        <f>L543</f>
        <v>11873144081.34</v>
      </c>
    </row>
    <row r="543" spans="1:12" ht="69" customHeight="1" x14ac:dyDescent="0.25">
      <c r="A543" s="914"/>
      <c r="B543" s="1171"/>
      <c r="C543" s="1160"/>
      <c r="D543" s="953" t="s">
        <v>349</v>
      </c>
      <c r="E543" s="799">
        <v>11873144081.34</v>
      </c>
      <c r="F543" s="807">
        <v>7475393714.4099998</v>
      </c>
      <c r="G543" s="1111"/>
      <c r="H543" s="934" t="s">
        <v>763</v>
      </c>
      <c r="I543" s="920" t="s">
        <v>428</v>
      </c>
      <c r="J543" s="942">
        <v>61772</v>
      </c>
      <c r="K543" s="957">
        <v>42012</v>
      </c>
      <c r="L543" s="463">
        <v>11873144081.34</v>
      </c>
    </row>
    <row r="544" spans="1:12" ht="44.25" customHeight="1" thickBot="1" x14ac:dyDescent="0.3">
      <c r="A544" s="914"/>
      <c r="B544" s="1391"/>
      <c r="C544" s="1114"/>
      <c r="D544" s="912"/>
      <c r="E544" s="961">
        <v>0</v>
      </c>
      <c r="F544" s="857"/>
      <c r="G544" s="1111"/>
      <c r="H544" s="926" t="s">
        <v>373</v>
      </c>
      <c r="I544" s="927"/>
      <c r="J544" s="928"/>
      <c r="K544" s="929"/>
      <c r="L544" s="879">
        <v>0</v>
      </c>
    </row>
    <row r="545" spans="1:13" ht="45" customHeight="1" x14ac:dyDescent="0.25">
      <c r="A545" s="914"/>
      <c r="B545" s="1135" t="s">
        <v>764</v>
      </c>
      <c r="C545" s="1041" t="s">
        <v>180</v>
      </c>
      <c r="D545" s="748" t="s">
        <v>349</v>
      </c>
      <c r="E545" s="371">
        <f>E546+E547</f>
        <v>1891949.91</v>
      </c>
      <c r="F545" s="341">
        <f>F546+F547</f>
        <v>0</v>
      </c>
      <c r="G545" s="1041" t="s">
        <v>426</v>
      </c>
      <c r="H545" s="768" t="s">
        <v>534</v>
      </c>
      <c r="I545" s="919" t="s">
        <v>361</v>
      </c>
      <c r="J545" s="952">
        <v>2869399</v>
      </c>
      <c r="K545" s="956">
        <v>1765797</v>
      </c>
      <c r="L545" s="981">
        <f>L546</f>
        <v>1891949.91</v>
      </c>
    </row>
    <row r="546" spans="1:13" ht="34.5" customHeight="1" thickBot="1" x14ac:dyDescent="0.3">
      <c r="A546" s="914"/>
      <c r="B546" s="1136"/>
      <c r="C546" s="1111"/>
      <c r="D546" s="749" t="s">
        <v>349</v>
      </c>
      <c r="E546" s="802">
        <v>1891949.91</v>
      </c>
      <c r="F546" s="810">
        <v>0</v>
      </c>
      <c r="G546" s="1111"/>
      <c r="H546" s="934" t="s">
        <v>535</v>
      </c>
      <c r="I546" s="920" t="s">
        <v>361</v>
      </c>
      <c r="J546" s="942">
        <v>557939</v>
      </c>
      <c r="K546" s="957">
        <v>355568</v>
      </c>
      <c r="L546" s="993">
        <v>1891949.91</v>
      </c>
    </row>
    <row r="547" spans="1:13" ht="30.75" customHeight="1" x14ac:dyDescent="0.25">
      <c r="A547" s="914"/>
      <c r="B547" s="1136"/>
      <c r="C547" s="1111"/>
      <c r="D547" s="1111"/>
      <c r="E547" s="1304"/>
      <c r="F547" s="1306"/>
      <c r="G547" s="1111"/>
      <c r="H547" s="934" t="s">
        <v>536</v>
      </c>
      <c r="I547" s="920" t="s">
        <v>539</v>
      </c>
      <c r="J547" s="942">
        <v>1763485</v>
      </c>
      <c r="K547" s="957">
        <v>1094392</v>
      </c>
      <c r="L547" s="1122"/>
    </row>
    <row r="548" spans="1:13" ht="106.5" customHeight="1" thickBot="1" x14ac:dyDescent="0.3">
      <c r="A548" s="914"/>
      <c r="B548" s="1137"/>
      <c r="C548" s="1042"/>
      <c r="D548" s="1042"/>
      <c r="E548" s="1305"/>
      <c r="F548" s="1307"/>
      <c r="G548" s="1042"/>
      <c r="H548" s="730" t="s">
        <v>537</v>
      </c>
      <c r="I548" s="921" t="s">
        <v>540</v>
      </c>
      <c r="J548" s="959">
        <v>298896</v>
      </c>
      <c r="K548" s="958">
        <v>187041</v>
      </c>
      <c r="L548" s="1123"/>
    </row>
    <row r="549" spans="1:13" ht="16.5" customHeight="1" x14ac:dyDescent="0.25">
      <c r="A549" s="1129"/>
      <c r="B549" s="1188" t="s">
        <v>38</v>
      </c>
      <c r="C549" s="1045" t="s">
        <v>180</v>
      </c>
      <c r="D549" s="734" t="s">
        <v>225</v>
      </c>
      <c r="E549" s="371">
        <f>E550+E551</f>
        <v>11743400</v>
      </c>
      <c r="F549" s="801">
        <f>F550+F551</f>
        <v>8807400</v>
      </c>
      <c r="G549" s="1045"/>
      <c r="H549" s="1045"/>
      <c r="I549" s="1045"/>
      <c r="J549" s="1194"/>
      <c r="K549" s="1201"/>
      <c r="L549" s="981">
        <f>L550+L551</f>
        <v>11743400</v>
      </c>
    </row>
    <row r="550" spans="1:13" ht="16.5" customHeight="1" x14ac:dyDescent="0.25">
      <c r="A550" s="1130"/>
      <c r="B550" s="1189"/>
      <c r="C550" s="1046"/>
      <c r="D550" s="727" t="s">
        <v>283</v>
      </c>
      <c r="E550" s="770">
        <f>E553</f>
        <v>11743400</v>
      </c>
      <c r="F550" s="803">
        <f>F553</f>
        <v>8807400</v>
      </c>
      <c r="G550" s="1046"/>
      <c r="H550" s="1046"/>
      <c r="I550" s="1046"/>
      <c r="J550" s="1195"/>
      <c r="K550" s="1202"/>
      <c r="L550" s="988">
        <f>L553</f>
        <v>11743400</v>
      </c>
    </row>
    <row r="551" spans="1:13" ht="16.5" customHeight="1" thickBot="1" x14ac:dyDescent="0.3">
      <c r="A551" s="1130"/>
      <c r="B551" s="1190"/>
      <c r="C551" s="1047"/>
      <c r="D551" s="771" t="s">
        <v>282</v>
      </c>
      <c r="E551" s="849">
        <f>E554</f>
        <v>0</v>
      </c>
      <c r="F551" s="804">
        <f>F554</f>
        <v>0</v>
      </c>
      <c r="G551" s="1047"/>
      <c r="H551" s="1047"/>
      <c r="I551" s="1047"/>
      <c r="J551" s="1196"/>
      <c r="K551" s="1203"/>
      <c r="L551" s="997">
        <f>L554</f>
        <v>0</v>
      </c>
    </row>
    <row r="552" spans="1:13" ht="16.5" customHeight="1" x14ac:dyDescent="0.25">
      <c r="A552" s="1130"/>
      <c r="B552" s="1188" t="s">
        <v>765</v>
      </c>
      <c r="C552" s="1041"/>
      <c r="D552" s="734" t="s">
        <v>225</v>
      </c>
      <c r="E552" s="371">
        <f>E553+E554</f>
        <v>11743400</v>
      </c>
      <c r="F552" s="801">
        <f>F553+F554</f>
        <v>8807400</v>
      </c>
      <c r="G552" s="1041"/>
      <c r="H552" s="1041"/>
      <c r="I552" s="1041"/>
      <c r="J552" s="1119"/>
      <c r="K552" s="1129"/>
      <c r="L552" s="981">
        <f>L553+L554</f>
        <v>11743400</v>
      </c>
    </row>
    <row r="553" spans="1:13" ht="16.5" customHeight="1" x14ac:dyDescent="0.25">
      <c r="A553" s="1130"/>
      <c r="B553" s="1189"/>
      <c r="C553" s="1111"/>
      <c r="D553" s="934" t="s">
        <v>283</v>
      </c>
      <c r="E553" s="799">
        <f>E556+E559</f>
        <v>11743400</v>
      </c>
      <c r="F553" s="805">
        <f>F556+F559</f>
        <v>8807400</v>
      </c>
      <c r="G553" s="1111"/>
      <c r="H553" s="1111"/>
      <c r="I553" s="1111"/>
      <c r="J553" s="1120"/>
      <c r="K553" s="1130"/>
      <c r="L553" s="463">
        <f>L556+L559</f>
        <v>11743400</v>
      </c>
    </row>
    <row r="554" spans="1:13" ht="16.5" customHeight="1" thickBot="1" x14ac:dyDescent="0.3">
      <c r="A554" s="1130"/>
      <c r="B554" s="1190"/>
      <c r="C554" s="1042"/>
      <c r="D554" s="730" t="s">
        <v>282</v>
      </c>
      <c r="E554" s="802">
        <f>E557+E560</f>
        <v>0</v>
      </c>
      <c r="F554" s="800">
        <f>F557+F560</f>
        <v>0</v>
      </c>
      <c r="G554" s="1042"/>
      <c r="H554" s="1042"/>
      <c r="I554" s="1042"/>
      <c r="J554" s="1116"/>
      <c r="K554" s="1131"/>
      <c r="L554" s="993">
        <f>L557+L560</f>
        <v>0</v>
      </c>
    </row>
    <row r="555" spans="1:13" ht="45.75" customHeight="1" x14ac:dyDescent="0.25">
      <c r="A555" s="1130"/>
      <c r="B555" s="1135" t="s">
        <v>766</v>
      </c>
      <c r="C555" s="1041" t="s">
        <v>180</v>
      </c>
      <c r="D555" s="734" t="s">
        <v>225</v>
      </c>
      <c r="E555" s="349">
        <f>E556+E557</f>
        <v>4128000</v>
      </c>
      <c r="F555" s="341">
        <f>F556+F557</f>
        <v>3096000</v>
      </c>
      <c r="G555" s="1041" t="s">
        <v>426</v>
      </c>
      <c r="H555" s="1127" t="s">
        <v>767</v>
      </c>
      <c r="I555" s="1041" t="s">
        <v>351</v>
      </c>
      <c r="J555" s="1119">
        <v>95</v>
      </c>
      <c r="K555" s="1121">
        <v>97</v>
      </c>
      <c r="L555" s="979">
        <f>L556+L557</f>
        <v>4128000</v>
      </c>
    </row>
    <row r="556" spans="1:13" ht="45.75" customHeight="1" x14ac:dyDescent="0.25">
      <c r="A556" s="1130"/>
      <c r="B556" s="1136"/>
      <c r="C556" s="1111"/>
      <c r="D556" s="934" t="s">
        <v>283</v>
      </c>
      <c r="E556" s="806">
        <v>4128000</v>
      </c>
      <c r="F556" s="807">
        <v>3096000</v>
      </c>
      <c r="G556" s="1111"/>
      <c r="H556" s="1128"/>
      <c r="I556" s="1111"/>
      <c r="J556" s="1120"/>
      <c r="K556" s="1122"/>
      <c r="L556" s="806">
        <v>4128000</v>
      </c>
      <c r="M556" s="773"/>
    </row>
    <row r="557" spans="1:13" ht="45.75" customHeight="1" thickBot="1" x14ac:dyDescent="0.3">
      <c r="A557" s="1130"/>
      <c r="B557" s="1137"/>
      <c r="C557" s="1042"/>
      <c r="D557" s="730" t="s">
        <v>282</v>
      </c>
      <c r="E557" s="809">
        <f>0</f>
        <v>0</v>
      </c>
      <c r="F557" s="810">
        <v>0</v>
      </c>
      <c r="G557" s="1042"/>
      <c r="H557" s="1113"/>
      <c r="I557" s="1042"/>
      <c r="J557" s="1116"/>
      <c r="K557" s="1123"/>
      <c r="L557" s="809">
        <f>0</f>
        <v>0</v>
      </c>
      <c r="M557" s="773"/>
    </row>
    <row r="558" spans="1:13" ht="45" customHeight="1" x14ac:dyDescent="0.25">
      <c r="A558" s="1130"/>
      <c r="B558" s="1135" t="s">
        <v>768</v>
      </c>
      <c r="C558" s="1041" t="s">
        <v>180</v>
      </c>
      <c r="D558" s="734" t="s">
        <v>225</v>
      </c>
      <c r="E558" s="349">
        <f>E559+E560</f>
        <v>7615400</v>
      </c>
      <c r="F558" s="341">
        <f>F559+F560</f>
        <v>5711400</v>
      </c>
      <c r="G558" s="1041" t="s">
        <v>426</v>
      </c>
      <c r="H558" s="1127" t="s">
        <v>372</v>
      </c>
      <c r="I558" s="1041" t="s">
        <v>351</v>
      </c>
      <c r="J558" s="1119">
        <v>87</v>
      </c>
      <c r="K558" s="1121">
        <v>86</v>
      </c>
      <c r="L558" s="981">
        <f>L559+L560</f>
        <v>7615400</v>
      </c>
    </row>
    <row r="559" spans="1:13" ht="45" customHeight="1" x14ac:dyDescent="0.25">
      <c r="A559" s="1130"/>
      <c r="B559" s="1136"/>
      <c r="C559" s="1111"/>
      <c r="D559" s="934" t="s">
        <v>283</v>
      </c>
      <c r="E559" s="806">
        <v>7615400</v>
      </c>
      <c r="F559" s="807">
        <v>5711400</v>
      </c>
      <c r="G559" s="1111"/>
      <c r="H559" s="1128"/>
      <c r="I559" s="1111"/>
      <c r="J559" s="1120"/>
      <c r="K559" s="1122"/>
      <c r="L559" s="463">
        <v>7615400</v>
      </c>
    </row>
    <row r="560" spans="1:13" ht="45" customHeight="1" thickBot="1" x14ac:dyDescent="0.3">
      <c r="A560" s="1131"/>
      <c r="B560" s="1137"/>
      <c r="C560" s="1042"/>
      <c r="D560" s="730" t="s">
        <v>282</v>
      </c>
      <c r="E560" s="809">
        <f>0</f>
        <v>0</v>
      </c>
      <c r="F560" s="810">
        <v>0</v>
      </c>
      <c r="G560" s="1042"/>
      <c r="H560" s="1113"/>
      <c r="I560" s="1042"/>
      <c r="J560" s="1116"/>
      <c r="K560" s="1123"/>
      <c r="L560" s="993">
        <f>0</f>
        <v>0</v>
      </c>
    </row>
    <row r="561" spans="1:13" ht="29.25" customHeight="1" x14ac:dyDescent="0.25">
      <c r="A561" s="1041"/>
      <c r="B561" s="1045" t="s">
        <v>37</v>
      </c>
      <c r="C561" s="1045" t="s">
        <v>180</v>
      </c>
      <c r="D561" s="734" t="s">
        <v>225</v>
      </c>
      <c r="E561" s="371">
        <f>E562+E563</f>
        <v>32500000</v>
      </c>
      <c r="F561" s="801">
        <f>F562+F563</f>
        <v>0</v>
      </c>
      <c r="G561" s="1045"/>
      <c r="H561" s="1045"/>
      <c r="I561" s="1045"/>
      <c r="J561" s="1200"/>
      <c r="K561" s="1045"/>
      <c r="L561" s="371">
        <f>L562+L563</f>
        <v>26000000</v>
      </c>
      <c r="M561" s="772"/>
    </row>
    <row r="562" spans="1:13" ht="29.25" customHeight="1" x14ac:dyDescent="0.25">
      <c r="A562" s="1111"/>
      <c r="B562" s="1046"/>
      <c r="C562" s="1046"/>
      <c r="D562" s="727" t="s">
        <v>283</v>
      </c>
      <c r="E562" s="770">
        <f>E566+E573+E758</f>
        <v>16900000</v>
      </c>
      <c r="F562" s="803">
        <f>F566+F573</f>
        <v>0</v>
      </c>
      <c r="G562" s="1046"/>
      <c r="H562" s="1046"/>
      <c r="I562" s="1046"/>
      <c r="J562" s="1173"/>
      <c r="K562" s="1046"/>
      <c r="L562" s="770">
        <f>L566+L573+M563+M564</f>
        <v>10400000</v>
      </c>
    </row>
    <row r="563" spans="1:13" ht="29.25" customHeight="1" x14ac:dyDescent="0.25">
      <c r="A563" s="1111"/>
      <c r="B563" s="1046"/>
      <c r="C563" s="1046"/>
      <c r="D563" s="945" t="s">
        <v>282</v>
      </c>
      <c r="E563" s="770">
        <f>E567+E574+E759</f>
        <v>15600000</v>
      </c>
      <c r="F563" s="803">
        <f>F574</f>
        <v>0</v>
      </c>
      <c r="G563" s="1046"/>
      <c r="H563" s="1046"/>
      <c r="I563" s="1046"/>
      <c r="J563" s="1173"/>
      <c r="K563" s="1046"/>
      <c r="L563" s="770">
        <f>L574</f>
        <v>15600000</v>
      </c>
    </row>
    <row r="564" spans="1:13" ht="29.25" customHeight="1" thickBot="1" x14ac:dyDescent="0.3">
      <c r="A564" s="1111"/>
      <c r="B564" s="1047"/>
      <c r="C564" s="1047"/>
      <c r="D564" s="771" t="s">
        <v>284</v>
      </c>
      <c r="E564" s="855">
        <f>E567</f>
        <v>0</v>
      </c>
      <c r="F564" s="893">
        <f>F567</f>
        <v>0</v>
      </c>
      <c r="G564" s="858"/>
      <c r="H564" s="858"/>
      <c r="I564" s="858"/>
      <c r="J564" s="904"/>
      <c r="K564" s="858"/>
      <c r="L564" s="1001">
        <f>L567</f>
        <v>0</v>
      </c>
    </row>
    <row r="565" spans="1:13" ht="162" customHeight="1" x14ac:dyDescent="0.25">
      <c r="A565" s="1111"/>
      <c r="B565" s="1127" t="s">
        <v>769</v>
      </c>
      <c r="C565" s="1045" t="s">
        <v>180</v>
      </c>
      <c r="D565" s="734" t="s">
        <v>225</v>
      </c>
      <c r="E565" s="371">
        <f>E567+E566</f>
        <v>0</v>
      </c>
      <c r="F565" s="371">
        <f>F567+F566</f>
        <v>0</v>
      </c>
      <c r="G565" s="1041" t="s">
        <v>426</v>
      </c>
      <c r="H565" s="768" t="s">
        <v>770</v>
      </c>
      <c r="I565" s="919" t="s">
        <v>357</v>
      </c>
      <c r="J565" s="952">
        <v>2417</v>
      </c>
      <c r="K565" s="956">
        <v>1812</v>
      </c>
      <c r="L565" s="371">
        <f>L567+L566</f>
        <v>0</v>
      </c>
    </row>
    <row r="566" spans="1:13" ht="178.5" customHeight="1" x14ac:dyDescent="0.25">
      <c r="A566" s="1111"/>
      <c r="B566" s="1128"/>
      <c r="C566" s="1046"/>
      <c r="D566" s="934" t="s">
        <v>283</v>
      </c>
      <c r="E566" s="799">
        <v>0</v>
      </c>
      <c r="F566" s="808">
        <f>F570+F576</f>
        <v>0</v>
      </c>
      <c r="G566" s="1111"/>
      <c r="H566" s="934" t="s">
        <v>771</v>
      </c>
      <c r="I566" s="920" t="s">
        <v>357</v>
      </c>
      <c r="J566" s="942">
        <v>54</v>
      </c>
      <c r="K566" s="957">
        <v>39</v>
      </c>
      <c r="L566" s="980">
        <v>0</v>
      </c>
    </row>
    <row r="567" spans="1:13" ht="174.75" customHeight="1" x14ac:dyDescent="0.25">
      <c r="A567" s="1111"/>
      <c r="B567" s="1128"/>
      <c r="C567" s="1046"/>
      <c r="D567" s="1128" t="s">
        <v>284</v>
      </c>
      <c r="E567" s="1143">
        <v>0</v>
      </c>
      <c r="F567" s="1146">
        <v>0</v>
      </c>
      <c r="G567" s="1111"/>
      <c r="H567" s="934" t="s">
        <v>772</v>
      </c>
      <c r="I567" s="923" t="s">
        <v>357</v>
      </c>
      <c r="J567" s="942">
        <v>837</v>
      </c>
      <c r="K567" s="957">
        <v>627</v>
      </c>
      <c r="L567" s="1227"/>
    </row>
    <row r="568" spans="1:13" ht="162.75" customHeight="1" x14ac:dyDescent="0.25">
      <c r="A568" s="1111"/>
      <c r="B568" s="1128"/>
      <c r="C568" s="1046"/>
      <c r="D568" s="1128"/>
      <c r="E568" s="1143"/>
      <c r="F568" s="1146"/>
      <c r="G568" s="1111"/>
      <c r="H568" s="934" t="s">
        <v>773</v>
      </c>
      <c r="I568" s="753" t="s">
        <v>357</v>
      </c>
      <c r="J568" s="942">
        <v>1580</v>
      </c>
      <c r="K568" s="957">
        <v>1185</v>
      </c>
      <c r="L568" s="1217"/>
    </row>
    <row r="569" spans="1:13" ht="137.25" customHeight="1" x14ac:dyDescent="0.25">
      <c r="A569" s="1111"/>
      <c r="B569" s="1128"/>
      <c r="C569" s="1046"/>
      <c r="D569" s="1128"/>
      <c r="E569" s="1143"/>
      <c r="F569" s="1146"/>
      <c r="G569" s="1111"/>
      <c r="H569" s="934" t="s">
        <v>519</v>
      </c>
      <c r="I569" s="753" t="s">
        <v>351</v>
      </c>
      <c r="J569" s="942">
        <v>1.4</v>
      </c>
      <c r="K569" s="957">
        <v>1.4</v>
      </c>
      <c r="L569" s="1217"/>
    </row>
    <row r="570" spans="1:13" ht="176.25" customHeight="1" x14ac:dyDescent="0.25">
      <c r="A570" s="1111"/>
      <c r="B570" s="1128"/>
      <c r="C570" s="1046"/>
      <c r="D570" s="1128"/>
      <c r="E570" s="1143"/>
      <c r="F570" s="1146"/>
      <c r="G570" s="1111"/>
      <c r="H570" s="934" t="s">
        <v>774</v>
      </c>
      <c r="I570" s="753" t="s">
        <v>351</v>
      </c>
      <c r="J570" s="942">
        <v>90</v>
      </c>
      <c r="K570" s="957">
        <v>90</v>
      </c>
      <c r="L570" s="1217"/>
    </row>
    <row r="571" spans="1:13" ht="29.25" customHeight="1" thickBot="1" x14ac:dyDescent="0.3">
      <c r="A571" s="1111"/>
      <c r="B571" s="1113"/>
      <c r="C571" s="1047"/>
      <c r="D571" s="1113"/>
      <c r="E571" s="1148"/>
      <c r="F571" s="1149"/>
      <c r="G571" s="1042"/>
      <c r="H571" s="912" t="s">
        <v>520</v>
      </c>
      <c r="I571" s="908" t="s">
        <v>351</v>
      </c>
      <c r="J571" s="917">
        <v>0</v>
      </c>
      <c r="K571" s="933">
        <v>0</v>
      </c>
      <c r="L571" s="1228"/>
    </row>
    <row r="572" spans="1:13" ht="27.75" customHeight="1" x14ac:dyDescent="0.25">
      <c r="A572" s="1111"/>
      <c r="B572" s="1132" t="s">
        <v>775</v>
      </c>
      <c r="C572" s="1041" t="s">
        <v>180</v>
      </c>
      <c r="D572" s="734" t="s">
        <v>225</v>
      </c>
      <c r="E572" s="371">
        <f>E573+E574</f>
        <v>26000000</v>
      </c>
      <c r="F572" s="859">
        <f>F573+F574</f>
        <v>0</v>
      </c>
      <c r="G572" s="1041"/>
      <c r="H572" s="1041"/>
      <c r="I572" s="1041"/>
      <c r="J572" s="1119"/>
      <c r="K572" s="1041"/>
      <c r="L572" s="981">
        <f>L573+L574</f>
        <v>26000000</v>
      </c>
    </row>
    <row r="573" spans="1:13" ht="27.75" customHeight="1" x14ac:dyDescent="0.25">
      <c r="A573" s="1111"/>
      <c r="B573" s="1133"/>
      <c r="C573" s="1111"/>
      <c r="D573" s="934" t="s">
        <v>283</v>
      </c>
      <c r="E573" s="799">
        <f>E576</f>
        <v>10400000</v>
      </c>
      <c r="F573" s="805">
        <f>F576</f>
        <v>0</v>
      </c>
      <c r="G573" s="1111"/>
      <c r="H573" s="1111"/>
      <c r="I573" s="1111"/>
      <c r="J573" s="1120"/>
      <c r="K573" s="1111"/>
      <c r="L573" s="463">
        <f>L576</f>
        <v>10400000</v>
      </c>
    </row>
    <row r="574" spans="1:13" ht="27.75" customHeight="1" thickBot="1" x14ac:dyDescent="0.3">
      <c r="A574" s="1111"/>
      <c r="B574" s="1134"/>
      <c r="C574" s="1042"/>
      <c r="D574" s="730" t="s">
        <v>282</v>
      </c>
      <c r="E574" s="802">
        <f>E577</f>
        <v>15600000</v>
      </c>
      <c r="F574" s="800">
        <f>F577</f>
        <v>0</v>
      </c>
      <c r="G574" s="1042"/>
      <c r="H574" s="1042"/>
      <c r="I574" s="1042"/>
      <c r="J574" s="1116"/>
      <c r="K574" s="1042"/>
      <c r="L574" s="993">
        <f>L577</f>
        <v>15600000</v>
      </c>
    </row>
    <row r="575" spans="1:13" ht="94.5" customHeight="1" x14ac:dyDescent="0.25">
      <c r="A575" s="1111"/>
      <c r="B575" s="1108" t="s">
        <v>779</v>
      </c>
      <c r="C575" s="1041" t="s">
        <v>180</v>
      </c>
      <c r="D575" s="734" t="s">
        <v>225</v>
      </c>
      <c r="E575" s="349">
        <f>E576+E577</f>
        <v>26000000</v>
      </c>
      <c r="F575" s="349">
        <f>F576+F577</f>
        <v>0</v>
      </c>
      <c r="G575" s="1041" t="s">
        <v>426</v>
      </c>
      <c r="H575" s="654" t="s">
        <v>776</v>
      </c>
      <c r="I575" s="919" t="s">
        <v>357</v>
      </c>
      <c r="J575" s="871">
        <v>31</v>
      </c>
      <c r="K575" s="972">
        <v>23</v>
      </c>
      <c r="L575" s="981">
        <f>L576+L577</f>
        <v>26000000</v>
      </c>
    </row>
    <row r="576" spans="1:13" ht="66" customHeight="1" x14ac:dyDescent="0.25">
      <c r="A576" s="1111"/>
      <c r="B576" s="1109"/>
      <c r="C576" s="1111"/>
      <c r="D576" s="934" t="s">
        <v>283</v>
      </c>
      <c r="E576" s="806">
        <v>10400000</v>
      </c>
      <c r="F576" s="463">
        <v>0</v>
      </c>
      <c r="G576" s="1111"/>
      <c r="H576" s="1112" t="s">
        <v>777</v>
      </c>
      <c r="I576" s="1114" t="s">
        <v>353</v>
      </c>
      <c r="J576" s="1115">
        <v>100</v>
      </c>
      <c r="K576" s="1117">
        <v>75</v>
      </c>
      <c r="L576" s="463">
        <v>10400000</v>
      </c>
    </row>
    <row r="577" spans="1:12" ht="66" customHeight="1" thickBot="1" x14ac:dyDescent="0.3">
      <c r="A577" s="1111"/>
      <c r="B577" s="1110"/>
      <c r="C577" s="1042"/>
      <c r="D577" s="730" t="s">
        <v>282</v>
      </c>
      <c r="E577" s="809">
        <v>15600000</v>
      </c>
      <c r="F577" s="993">
        <v>0</v>
      </c>
      <c r="G577" s="1042"/>
      <c r="H577" s="1113"/>
      <c r="I577" s="1042"/>
      <c r="J577" s="1116"/>
      <c r="K577" s="1118"/>
      <c r="L577" s="993">
        <v>15600000</v>
      </c>
    </row>
    <row r="578" spans="1:12" ht="20.25" hidden="1" customHeight="1" x14ac:dyDescent="0.25">
      <c r="A578" s="780"/>
      <c r="B578" s="949"/>
      <c r="C578" s="468"/>
      <c r="D578" s="468"/>
      <c r="E578" s="323"/>
      <c r="F578" s="323"/>
      <c r="G578" s="780"/>
      <c r="H578" s="760"/>
      <c r="I578" s="780"/>
      <c r="J578" s="713"/>
      <c r="K578" s="887"/>
      <c r="L578" s="469"/>
    </row>
    <row r="579" spans="1:12" ht="23.25" hidden="1" customHeight="1" x14ac:dyDescent="0.25">
      <c r="B579" s="469"/>
      <c r="K579" s="887"/>
      <c r="L579" s="973" t="s">
        <v>333</v>
      </c>
    </row>
    <row r="580" spans="1:12" ht="31.5" hidden="1" customHeight="1" x14ac:dyDescent="0.25">
      <c r="A580" s="1268" t="s">
        <v>409</v>
      </c>
      <c r="B580" s="1268"/>
      <c r="C580" s="1268"/>
      <c r="D580" s="1268"/>
      <c r="E580" s="1268"/>
      <c r="F580" s="1268"/>
      <c r="G580" s="1268"/>
      <c r="H580" s="1268"/>
      <c r="I580" s="1268"/>
      <c r="J580" s="1268"/>
      <c r="K580" s="1268"/>
      <c r="L580" s="1268"/>
    </row>
    <row r="581" spans="1:12" ht="12.75" hidden="1" customHeight="1" x14ac:dyDescent="0.25">
      <c r="A581" s="719"/>
      <c r="B581" s="751" t="s">
        <v>334</v>
      </c>
      <c r="C581" s="1269" t="s">
        <v>374</v>
      </c>
      <c r="D581" s="1269"/>
      <c r="E581" s="1269"/>
      <c r="F581" s="319"/>
      <c r="G581" s="948"/>
    </row>
    <row r="582" spans="1:12" ht="12.75" hidden="1" customHeight="1" x14ac:dyDescent="0.25">
      <c r="A582" s="719"/>
      <c r="B582" s="751" t="s">
        <v>175</v>
      </c>
      <c r="C582" s="1270" t="s">
        <v>180</v>
      </c>
      <c r="D582" s="1270"/>
      <c r="E582" s="1270"/>
      <c r="F582" s="319"/>
      <c r="G582" s="948"/>
    </row>
    <row r="583" spans="1:12" ht="14.25" hidden="1" customHeight="1" thickBot="1" x14ac:dyDescent="0.3">
      <c r="A583" s="780"/>
      <c r="B583" s="949"/>
      <c r="C583" s="468"/>
      <c r="D583" s="468"/>
      <c r="E583" s="323"/>
      <c r="F583" s="323"/>
      <c r="G583" s="780"/>
      <c r="H583" s="760"/>
      <c r="I583" s="780"/>
      <c r="J583" s="713"/>
      <c r="K583" s="468"/>
      <c r="L583" s="469"/>
    </row>
    <row r="584" spans="1:12" ht="89.25" hidden="1" customHeight="1" thickBot="1" x14ac:dyDescent="0.3">
      <c r="A584" s="720" t="s">
        <v>245</v>
      </c>
      <c r="B584" s="721" t="s">
        <v>336</v>
      </c>
      <c r="C584" s="722" t="s">
        <v>175</v>
      </c>
      <c r="D584" s="722" t="s">
        <v>337</v>
      </c>
      <c r="E584" s="320" t="s">
        <v>338</v>
      </c>
      <c r="F584" s="330" t="s">
        <v>339</v>
      </c>
      <c r="G584" s="520" t="s">
        <v>340</v>
      </c>
      <c r="H584" s="756" t="s">
        <v>341</v>
      </c>
      <c r="I584" s="181" t="s">
        <v>342</v>
      </c>
      <c r="J584" s="714" t="s">
        <v>343</v>
      </c>
      <c r="K584" s="723" t="s">
        <v>344</v>
      </c>
      <c r="L584" s="974" t="s">
        <v>345</v>
      </c>
    </row>
    <row r="585" spans="1:12" ht="14.25" hidden="1" customHeight="1" thickBot="1" x14ac:dyDescent="0.3">
      <c r="A585" s="724">
        <v>1</v>
      </c>
      <c r="B585" s="721">
        <v>2</v>
      </c>
      <c r="C585" s="725">
        <v>3</v>
      </c>
      <c r="D585" s="722">
        <v>4</v>
      </c>
      <c r="E585" s="342">
        <v>5</v>
      </c>
      <c r="F585" s="343">
        <v>6</v>
      </c>
      <c r="G585" s="520">
        <v>7</v>
      </c>
      <c r="H585" s="756">
        <v>8</v>
      </c>
      <c r="I585" s="520">
        <v>9</v>
      </c>
      <c r="J585" s="715">
        <v>10</v>
      </c>
      <c r="K585" s="726">
        <v>11</v>
      </c>
      <c r="L585" s="1002">
        <v>12</v>
      </c>
    </row>
    <row r="586" spans="1:12" hidden="1" x14ac:dyDescent="0.25">
      <c r="A586" s="1368"/>
      <c r="B586" s="1132" t="s">
        <v>145</v>
      </c>
      <c r="C586" s="1244" t="s">
        <v>180</v>
      </c>
      <c r="D586" s="347" t="s">
        <v>375</v>
      </c>
      <c r="E586" s="361">
        <f>E587</f>
        <v>77992569.689999998</v>
      </c>
      <c r="F586" s="348">
        <f>F587</f>
        <v>18679126.050000001</v>
      </c>
      <c r="G586" s="1244"/>
      <c r="H586" s="1241"/>
      <c r="I586" s="1244"/>
      <c r="J586" s="1247"/>
      <c r="K586" s="1250"/>
      <c r="L586" s="981">
        <f>L587</f>
        <v>78308573.370000005</v>
      </c>
    </row>
    <row r="587" spans="1:12" hidden="1" x14ac:dyDescent="0.25">
      <c r="A587" s="1369"/>
      <c r="B587" s="1133"/>
      <c r="C587" s="1245"/>
      <c r="D587" s="737" t="s">
        <v>376</v>
      </c>
      <c r="E587" s="365">
        <f>E588+E589</f>
        <v>77992569.689999998</v>
      </c>
      <c r="F587" s="750">
        <f>F588+F589</f>
        <v>18679126.050000001</v>
      </c>
      <c r="G587" s="1245"/>
      <c r="H587" s="1242"/>
      <c r="I587" s="1245"/>
      <c r="J587" s="1248"/>
      <c r="K587" s="1251"/>
      <c r="L587" s="988">
        <f>L588+L589</f>
        <v>78308573.370000005</v>
      </c>
    </row>
    <row r="588" spans="1:12" hidden="1" x14ac:dyDescent="0.25">
      <c r="A588" s="1369"/>
      <c r="B588" s="1133"/>
      <c r="C588" s="1245"/>
      <c r="D588" s="49" t="s">
        <v>283</v>
      </c>
      <c r="E588" s="365">
        <f>E592+E616+E626</f>
        <v>77992569.689999998</v>
      </c>
      <c r="F588" s="750">
        <f>F592+F616+F626</f>
        <v>18679126.050000001</v>
      </c>
      <c r="G588" s="1245"/>
      <c r="H588" s="1242"/>
      <c r="I588" s="1245"/>
      <c r="J588" s="1248"/>
      <c r="K588" s="1251"/>
      <c r="L588" s="988">
        <f>L592+L616+L626</f>
        <v>78308573.370000005</v>
      </c>
    </row>
    <row r="589" spans="1:12" ht="15.75" hidden="1" thickBot="1" x14ac:dyDescent="0.3">
      <c r="A589" s="1370"/>
      <c r="B589" s="1134"/>
      <c r="C589" s="1246"/>
      <c r="D589" s="142" t="s">
        <v>282</v>
      </c>
      <c r="E589" s="366">
        <f>E593+E617+E627</f>
        <v>0</v>
      </c>
      <c r="F589" s="754">
        <f>F593+F617+F627</f>
        <v>0</v>
      </c>
      <c r="G589" s="1246"/>
      <c r="H589" s="1243"/>
      <c r="I589" s="1246"/>
      <c r="J589" s="1249"/>
      <c r="K589" s="1252"/>
      <c r="L589" s="997">
        <f>L593+L617+L627</f>
        <v>0</v>
      </c>
    </row>
    <row r="590" spans="1:12" ht="15.75" hidden="1" thickBot="1" x14ac:dyDescent="0.3">
      <c r="A590" s="1265"/>
      <c r="B590" s="1266"/>
      <c r="C590" s="1266"/>
      <c r="D590" s="1266"/>
      <c r="E590" s="1266"/>
      <c r="F590" s="1266"/>
      <c r="G590" s="1266"/>
      <c r="H590" s="1266"/>
      <c r="I590" s="1266"/>
      <c r="J590" s="1266"/>
      <c r="K590" s="1266"/>
      <c r="L590" s="1267"/>
    </row>
    <row r="591" spans="1:12" ht="16.5" hidden="1" customHeight="1" x14ac:dyDescent="0.25">
      <c r="A591" s="1051"/>
      <c r="B591" s="1301" t="s">
        <v>378</v>
      </c>
      <c r="C591" s="1077" t="s">
        <v>180</v>
      </c>
      <c r="D591" s="731" t="s">
        <v>376</v>
      </c>
      <c r="E591" s="334">
        <f>E592+E593</f>
        <v>65358325.609999999</v>
      </c>
      <c r="F591" s="334">
        <f>F592+F593</f>
        <v>15849122</v>
      </c>
      <c r="G591" s="1077"/>
      <c r="H591" s="1241"/>
      <c r="I591" s="1253"/>
      <c r="J591" s="1256"/>
      <c r="K591" s="1259"/>
      <c r="L591" s="979">
        <f>L592+L593</f>
        <v>65674329.289999992</v>
      </c>
    </row>
    <row r="592" spans="1:12" hidden="1" x14ac:dyDescent="0.25">
      <c r="A592" s="1052"/>
      <c r="B592" s="1302"/>
      <c r="C592" s="1078"/>
      <c r="D592" s="732" t="s">
        <v>283</v>
      </c>
      <c r="E592" s="335">
        <f>E595</f>
        <v>65358325.609999999</v>
      </c>
      <c r="F592" s="335">
        <f>F595</f>
        <v>15849122</v>
      </c>
      <c r="G592" s="1078"/>
      <c r="H592" s="1242"/>
      <c r="I592" s="1254"/>
      <c r="J592" s="1257"/>
      <c r="K592" s="1260"/>
      <c r="L592" s="980">
        <f>L595+L610</f>
        <v>65674329.289999992</v>
      </c>
    </row>
    <row r="593" spans="1:12" ht="15.75" hidden="1" thickBot="1" x14ac:dyDescent="0.3">
      <c r="A593" s="1052"/>
      <c r="B593" s="1303"/>
      <c r="C593" s="1079"/>
      <c r="D593" s="733" t="s">
        <v>282</v>
      </c>
      <c r="E593" s="336">
        <f>E596</f>
        <v>0</v>
      </c>
      <c r="F593" s="336">
        <f>F596</f>
        <v>0</v>
      </c>
      <c r="G593" s="1079"/>
      <c r="H593" s="1243"/>
      <c r="I593" s="1255"/>
      <c r="J593" s="1258"/>
      <c r="K593" s="1261"/>
      <c r="L593" s="1003">
        <f>L596+L611</f>
        <v>0</v>
      </c>
    </row>
    <row r="594" spans="1:12" ht="16.5" hidden="1" customHeight="1" x14ac:dyDescent="0.25">
      <c r="A594" s="1052"/>
      <c r="B594" s="1132" t="s">
        <v>379</v>
      </c>
      <c r="C594" s="1295"/>
      <c r="D594" s="347" t="s">
        <v>376</v>
      </c>
      <c r="E594" s="361">
        <f>E595+E596</f>
        <v>65358325.609999999</v>
      </c>
      <c r="F594" s="348">
        <f>F595+F596</f>
        <v>15849122</v>
      </c>
      <c r="G594" s="1051"/>
      <c r="H594" s="1298"/>
      <c r="I594" s="1051"/>
      <c r="J594" s="1313"/>
      <c r="K594" s="1316"/>
      <c r="L594" s="981">
        <f>L595+L596</f>
        <v>65674329.289999992</v>
      </c>
    </row>
    <row r="595" spans="1:12" hidden="1" x14ac:dyDescent="0.25">
      <c r="A595" s="1052"/>
      <c r="B595" s="1133"/>
      <c r="C595" s="1296"/>
      <c r="D595" s="49" t="s">
        <v>283</v>
      </c>
      <c r="E595" s="316">
        <f>E598+E601+E604+E607+E613</f>
        <v>65358325.609999999</v>
      </c>
      <c r="F595" s="735">
        <f>F598+F601+F604+F607+F613</f>
        <v>15849122</v>
      </c>
      <c r="G595" s="1052"/>
      <c r="H595" s="1299"/>
      <c r="I595" s="1052"/>
      <c r="J595" s="1314"/>
      <c r="K595" s="1317"/>
      <c r="L595" s="463">
        <f>L598+L601+L604+L607+L613</f>
        <v>65674329.289999992</v>
      </c>
    </row>
    <row r="596" spans="1:12" ht="15.75" hidden="1" thickBot="1" x14ac:dyDescent="0.3">
      <c r="A596" s="1052"/>
      <c r="B596" s="1134"/>
      <c r="C596" s="1297"/>
      <c r="D596" s="142" t="s">
        <v>282</v>
      </c>
      <c r="E596" s="321">
        <f>E599+E602+E605+E608+E614</f>
        <v>0</v>
      </c>
      <c r="F596" s="736">
        <f>F599+F602+F605+F608+F614</f>
        <v>0</v>
      </c>
      <c r="G596" s="1053"/>
      <c r="H596" s="1300"/>
      <c r="I596" s="1053"/>
      <c r="J596" s="1315"/>
      <c r="K596" s="1318"/>
      <c r="L596" s="993">
        <f>L599+L602+L605+L608</f>
        <v>0</v>
      </c>
    </row>
    <row r="597" spans="1:12" ht="46.5" hidden="1" customHeight="1" x14ac:dyDescent="0.25">
      <c r="A597" s="1052"/>
      <c r="B597" s="1292" t="s">
        <v>24</v>
      </c>
      <c r="C597" s="1051" t="s">
        <v>180</v>
      </c>
      <c r="D597" s="347" t="s">
        <v>376</v>
      </c>
      <c r="E597" s="346">
        <f>E598+E599</f>
        <v>2843023.97</v>
      </c>
      <c r="F597" s="344">
        <f>F598+F599</f>
        <v>789763</v>
      </c>
      <c r="G597" s="1051"/>
      <c r="H597" s="1286" t="s">
        <v>377</v>
      </c>
      <c r="I597" s="1051" t="s">
        <v>351</v>
      </c>
      <c r="J597" s="1289">
        <v>100</v>
      </c>
      <c r="K597" s="1319" t="s">
        <v>227</v>
      </c>
      <c r="L597" s="979">
        <f>L598+L599</f>
        <v>3159027.65</v>
      </c>
    </row>
    <row r="598" spans="1:12" ht="46.5" hidden="1" customHeight="1" x14ac:dyDescent="0.25">
      <c r="A598" s="1052"/>
      <c r="B598" s="1293"/>
      <c r="C598" s="1052"/>
      <c r="D598" s="49" t="s">
        <v>283</v>
      </c>
      <c r="E598" s="337">
        <v>2843023.97</v>
      </c>
      <c r="F598" s="331">
        <v>789763</v>
      </c>
      <c r="G598" s="1052"/>
      <c r="H598" s="1287"/>
      <c r="I598" s="1052"/>
      <c r="J598" s="1290"/>
      <c r="K598" s="1320"/>
      <c r="L598" s="808">
        <v>3159027.65</v>
      </c>
    </row>
    <row r="599" spans="1:12" ht="46.5" hidden="1" customHeight="1" thickBot="1" x14ac:dyDescent="0.3">
      <c r="A599" s="1052"/>
      <c r="B599" s="1294"/>
      <c r="C599" s="1053"/>
      <c r="D599" s="142" t="s">
        <v>282</v>
      </c>
      <c r="E599" s="338">
        <f>0</f>
        <v>0</v>
      </c>
      <c r="F599" s="332">
        <v>0</v>
      </c>
      <c r="G599" s="1053"/>
      <c r="H599" s="1288"/>
      <c r="I599" s="1053"/>
      <c r="J599" s="1291"/>
      <c r="K599" s="1321"/>
      <c r="L599" s="982">
        <v>0</v>
      </c>
    </row>
    <row r="600" spans="1:12" ht="35.25" hidden="1" customHeight="1" x14ac:dyDescent="0.25">
      <c r="A600" s="1052"/>
      <c r="B600" s="1127" t="s">
        <v>380</v>
      </c>
      <c r="C600" s="1051" t="s">
        <v>180</v>
      </c>
      <c r="D600" s="347" t="s">
        <v>376</v>
      </c>
      <c r="E600" s="350">
        <f>E601+E602</f>
        <v>47805139.909999996</v>
      </c>
      <c r="F600" s="344">
        <f>F601+F602</f>
        <v>11343478</v>
      </c>
      <c r="G600" s="1051"/>
      <c r="H600" s="1286" t="s">
        <v>381</v>
      </c>
      <c r="I600" s="1051" t="s">
        <v>357</v>
      </c>
      <c r="J600" s="1289">
        <v>1424</v>
      </c>
      <c r="K600" s="1283">
        <f>916+484</f>
        <v>1400</v>
      </c>
      <c r="L600" s="979">
        <f>L601+L602</f>
        <v>47805139.909999996</v>
      </c>
    </row>
    <row r="601" spans="1:12" ht="35.25" hidden="1" customHeight="1" x14ac:dyDescent="0.25">
      <c r="A601" s="1052"/>
      <c r="B601" s="1128"/>
      <c r="C601" s="1052"/>
      <c r="D601" s="49" t="s">
        <v>283</v>
      </c>
      <c r="E601" s="351">
        <v>47805139.909999996</v>
      </c>
      <c r="F601" s="331">
        <v>11343478</v>
      </c>
      <c r="G601" s="1052"/>
      <c r="H601" s="1287"/>
      <c r="I601" s="1052"/>
      <c r="J601" s="1290"/>
      <c r="K601" s="1284"/>
      <c r="L601" s="808">
        <v>47805139.909999996</v>
      </c>
    </row>
    <row r="602" spans="1:12" ht="35.25" hidden="1" customHeight="1" thickBot="1" x14ac:dyDescent="0.3">
      <c r="A602" s="1052"/>
      <c r="B602" s="1113"/>
      <c r="C602" s="1053"/>
      <c r="D602" s="142" t="s">
        <v>282</v>
      </c>
      <c r="E602" s="352">
        <f>0</f>
        <v>0</v>
      </c>
      <c r="F602" s="332">
        <v>0</v>
      </c>
      <c r="G602" s="1053"/>
      <c r="H602" s="1288"/>
      <c r="I602" s="1053"/>
      <c r="J602" s="1291"/>
      <c r="K602" s="1285"/>
      <c r="L602" s="982">
        <v>0</v>
      </c>
    </row>
    <row r="603" spans="1:12" ht="40.5" hidden="1" customHeight="1" x14ac:dyDescent="0.25">
      <c r="A603" s="1052"/>
      <c r="B603" s="1127" t="s">
        <v>382</v>
      </c>
      <c r="C603" s="1051" t="s">
        <v>180</v>
      </c>
      <c r="D603" s="347" t="s">
        <v>376</v>
      </c>
      <c r="E603" s="350">
        <f>E604+E605</f>
        <v>8986830</v>
      </c>
      <c r="F603" s="344">
        <f>F604+F605</f>
        <v>2285370</v>
      </c>
      <c r="G603" s="1051"/>
      <c r="H603" s="1286" t="s">
        <v>383</v>
      </c>
      <c r="I603" s="1051" t="s">
        <v>357</v>
      </c>
      <c r="J603" s="1289">
        <v>1424</v>
      </c>
      <c r="K603" s="1283">
        <f>722+387</f>
        <v>1109</v>
      </c>
      <c r="L603" s="979">
        <f>L604+L605</f>
        <v>8986830</v>
      </c>
    </row>
    <row r="604" spans="1:12" ht="40.5" hidden="1" customHeight="1" x14ac:dyDescent="0.25">
      <c r="A604" s="1052"/>
      <c r="B604" s="1128"/>
      <c r="C604" s="1052"/>
      <c r="D604" s="49" t="s">
        <v>283</v>
      </c>
      <c r="E604" s="351">
        <v>8986830</v>
      </c>
      <c r="F604" s="331">
        <v>2285370</v>
      </c>
      <c r="G604" s="1052"/>
      <c r="H604" s="1287"/>
      <c r="I604" s="1052"/>
      <c r="J604" s="1290"/>
      <c r="K604" s="1284"/>
      <c r="L604" s="808">
        <v>8986830</v>
      </c>
    </row>
    <row r="605" spans="1:12" ht="40.5" hidden="1" customHeight="1" thickBot="1" x14ac:dyDescent="0.3">
      <c r="A605" s="1052"/>
      <c r="B605" s="1113"/>
      <c r="C605" s="1053"/>
      <c r="D605" s="142" t="s">
        <v>282</v>
      </c>
      <c r="E605" s="352">
        <f>0</f>
        <v>0</v>
      </c>
      <c r="F605" s="332">
        <v>0</v>
      </c>
      <c r="G605" s="1053"/>
      <c r="H605" s="1288"/>
      <c r="I605" s="1053"/>
      <c r="J605" s="1291"/>
      <c r="K605" s="1285"/>
      <c r="L605" s="982">
        <v>0</v>
      </c>
    </row>
    <row r="606" spans="1:12" ht="30.75" hidden="1" customHeight="1" x14ac:dyDescent="0.25">
      <c r="A606" s="1052"/>
      <c r="B606" s="1292" t="s">
        <v>384</v>
      </c>
      <c r="C606" s="1051" t="s">
        <v>180</v>
      </c>
      <c r="D606" s="347" t="s">
        <v>376</v>
      </c>
      <c r="E606" s="350">
        <f>E607+E608</f>
        <v>5723331.7300000004</v>
      </c>
      <c r="F606" s="344">
        <f>F607+F608</f>
        <v>1430511</v>
      </c>
      <c r="G606" s="1051"/>
      <c r="H606" s="1286" t="s">
        <v>385</v>
      </c>
      <c r="I606" s="1051" t="s">
        <v>357</v>
      </c>
      <c r="J606" s="1289">
        <v>200</v>
      </c>
      <c r="K606" s="1283">
        <f>253</f>
        <v>253</v>
      </c>
      <c r="L606" s="979">
        <f>L607+L608</f>
        <v>5723331.7300000004</v>
      </c>
    </row>
    <row r="607" spans="1:12" ht="30.75" hidden="1" customHeight="1" x14ac:dyDescent="0.25">
      <c r="A607" s="1052"/>
      <c r="B607" s="1293"/>
      <c r="C607" s="1052"/>
      <c r="D607" s="49" t="s">
        <v>283</v>
      </c>
      <c r="E607" s="351">
        <v>5723331.7300000004</v>
      </c>
      <c r="F607" s="331">
        <v>1430511</v>
      </c>
      <c r="G607" s="1052"/>
      <c r="H607" s="1287"/>
      <c r="I607" s="1052"/>
      <c r="J607" s="1290"/>
      <c r="K607" s="1284"/>
      <c r="L607" s="806">
        <v>5723331.7300000004</v>
      </c>
    </row>
    <row r="608" spans="1:12" ht="30.75" hidden="1" customHeight="1" thickBot="1" x14ac:dyDescent="0.3">
      <c r="A608" s="1052"/>
      <c r="B608" s="1294"/>
      <c r="C608" s="1053"/>
      <c r="D608" s="142" t="s">
        <v>282</v>
      </c>
      <c r="E608" s="352">
        <f>0</f>
        <v>0</v>
      </c>
      <c r="F608" s="332">
        <v>0</v>
      </c>
      <c r="G608" s="1053"/>
      <c r="H608" s="1288"/>
      <c r="I608" s="1053"/>
      <c r="J608" s="1291"/>
      <c r="K608" s="1285"/>
      <c r="L608" s="982">
        <v>0</v>
      </c>
    </row>
    <row r="609" spans="1:12" ht="16.5" hidden="1" customHeight="1" x14ac:dyDescent="0.25">
      <c r="A609" s="1052"/>
      <c r="B609" s="1132" t="s">
        <v>407</v>
      </c>
      <c r="C609" s="1051"/>
      <c r="D609" s="347" t="s">
        <v>376</v>
      </c>
      <c r="E609" s="361">
        <f>E610+E611</f>
        <v>0</v>
      </c>
      <c r="F609" s="348">
        <f>F610+F611</f>
        <v>0</v>
      </c>
      <c r="G609" s="1051"/>
      <c r="H609" s="1298"/>
      <c r="I609" s="1051"/>
      <c r="J609" s="1313"/>
      <c r="K609" s="1316"/>
      <c r="L609" s="981">
        <f>L610+L611</f>
        <v>0</v>
      </c>
    </row>
    <row r="610" spans="1:12" ht="16.5" hidden="1" customHeight="1" x14ac:dyDescent="0.25">
      <c r="A610" s="1052"/>
      <c r="B610" s="1133"/>
      <c r="C610" s="1052"/>
      <c r="D610" s="49" t="s">
        <v>283</v>
      </c>
      <c r="E610" s="316">
        <f>E613</f>
        <v>0</v>
      </c>
      <c r="F610" s="735">
        <f>F613</f>
        <v>0</v>
      </c>
      <c r="G610" s="1052"/>
      <c r="H610" s="1299"/>
      <c r="I610" s="1052"/>
      <c r="J610" s="1314"/>
      <c r="K610" s="1317"/>
      <c r="L610" s="463">
        <f>L613</f>
        <v>0</v>
      </c>
    </row>
    <row r="611" spans="1:12" ht="16.5" hidden="1" customHeight="1" thickBot="1" x14ac:dyDescent="0.3">
      <c r="A611" s="1052"/>
      <c r="B611" s="1134"/>
      <c r="C611" s="1053"/>
      <c r="D611" s="142" t="s">
        <v>282</v>
      </c>
      <c r="E611" s="321">
        <f>E614</f>
        <v>0</v>
      </c>
      <c r="F611" s="736">
        <f>F614</f>
        <v>0</v>
      </c>
      <c r="G611" s="1053"/>
      <c r="H611" s="1300"/>
      <c r="I611" s="1053"/>
      <c r="J611" s="1315"/>
      <c r="K611" s="1318"/>
      <c r="L611" s="993">
        <f>L614</f>
        <v>0</v>
      </c>
    </row>
    <row r="612" spans="1:12" ht="104.25" hidden="1" customHeight="1" x14ac:dyDescent="0.25">
      <c r="A612" s="1052"/>
      <c r="B612" s="1292" t="s">
        <v>220</v>
      </c>
      <c r="C612" s="1051" t="s">
        <v>180</v>
      </c>
      <c r="D612" s="347" t="s">
        <v>376</v>
      </c>
      <c r="E612" s="350">
        <f>E613+E614</f>
        <v>0</v>
      </c>
      <c r="F612" s="344">
        <f>F613+F614</f>
        <v>0</v>
      </c>
      <c r="G612" s="1051"/>
      <c r="H612" s="1286" t="s">
        <v>408</v>
      </c>
      <c r="I612" s="1051" t="s">
        <v>357</v>
      </c>
      <c r="J612" s="1289">
        <v>0</v>
      </c>
      <c r="K612" s="1283">
        <v>0</v>
      </c>
      <c r="L612" s="981">
        <f>L613+L614</f>
        <v>0</v>
      </c>
    </row>
    <row r="613" spans="1:12" ht="104.25" hidden="1" customHeight="1" x14ac:dyDescent="0.25">
      <c r="A613" s="1052"/>
      <c r="B613" s="1293"/>
      <c r="C613" s="1052"/>
      <c r="D613" s="49" t="s">
        <v>283</v>
      </c>
      <c r="E613" s="351">
        <f>0</f>
        <v>0</v>
      </c>
      <c r="F613" s="331">
        <v>0</v>
      </c>
      <c r="G613" s="1052"/>
      <c r="H613" s="1287"/>
      <c r="I613" s="1052"/>
      <c r="J613" s="1290"/>
      <c r="K613" s="1284"/>
      <c r="L613" s="463">
        <v>0</v>
      </c>
    </row>
    <row r="614" spans="1:12" ht="104.25" hidden="1" customHeight="1" thickBot="1" x14ac:dyDescent="0.3">
      <c r="A614" s="1053"/>
      <c r="B614" s="1294"/>
      <c r="C614" s="1053"/>
      <c r="D614" s="142" t="s">
        <v>282</v>
      </c>
      <c r="E614" s="352">
        <v>0</v>
      </c>
      <c r="F614" s="332">
        <v>0</v>
      </c>
      <c r="G614" s="1053"/>
      <c r="H614" s="1288"/>
      <c r="I614" s="1053"/>
      <c r="J614" s="1291"/>
      <c r="K614" s="1285"/>
      <c r="L614" s="993">
        <v>0</v>
      </c>
    </row>
    <row r="615" spans="1:12" ht="19.5" hidden="1" customHeight="1" x14ac:dyDescent="0.25">
      <c r="A615" s="1354"/>
      <c r="B615" s="1365" t="s">
        <v>386</v>
      </c>
      <c r="C615" s="1356" t="s">
        <v>180</v>
      </c>
      <c r="D615" s="731" t="s">
        <v>376</v>
      </c>
      <c r="E615" s="362">
        <f>E616+E617</f>
        <v>8390717.4000000004</v>
      </c>
      <c r="F615" s="362">
        <f>F616+F617</f>
        <v>1873822</v>
      </c>
      <c r="G615" s="1356"/>
      <c r="H615" s="1298"/>
      <c r="I615" s="1356"/>
      <c r="J615" s="1359"/>
      <c r="K615" s="1362"/>
      <c r="L615" s="979">
        <f>L616+L617</f>
        <v>8390717.4000000004</v>
      </c>
    </row>
    <row r="616" spans="1:12" ht="19.5" hidden="1" customHeight="1" x14ac:dyDescent="0.25">
      <c r="A616" s="1355"/>
      <c r="B616" s="1366"/>
      <c r="C616" s="1357"/>
      <c r="D616" s="738" t="s">
        <v>283</v>
      </c>
      <c r="E616" s="367">
        <f>E619</f>
        <v>8390717.4000000004</v>
      </c>
      <c r="F616" s="367">
        <f>F619</f>
        <v>1873822</v>
      </c>
      <c r="G616" s="1357"/>
      <c r="H616" s="1299"/>
      <c r="I616" s="1357"/>
      <c r="J616" s="1360"/>
      <c r="K616" s="1363"/>
      <c r="L616" s="990">
        <f>L619</f>
        <v>8390717.4000000004</v>
      </c>
    </row>
    <row r="617" spans="1:12" ht="19.5" hidden="1" customHeight="1" thickBot="1" x14ac:dyDescent="0.3">
      <c r="A617" s="1355"/>
      <c r="B617" s="1367"/>
      <c r="C617" s="1358"/>
      <c r="D617" s="739" t="s">
        <v>282</v>
      </c>
      <c r="E617" s="368">
        <f>E620</f>
        <v>0</v>
      </c>
      <c r="F617" s="368">
        <f>F620</f>
        <v>0</v>
      </c>
      <c r="G617" s="1358"/>
      <c r="H617" s="1300"/>
      <c r="I617" s="1358"/>
      <c r="J617" s="1361"/>
      <c r="K617" s="1364"/>
      <c r="L617" s="1003">
        <f>L620</f>
        <v>0</v>
      </c>
    </row>
    <row r="618" spans="1:12" ht="19.5" hidden="1" customHeight="1" x14ac:dyDescent="0.25">
      <c r="A618" s="1355"/>
      <c r="B618" s="1132" t="s">
        <v>148</v>
      </c>
      <c r="C618" s="1051"/>
      <c r="D618" s="347" t="s">
        <v>376</v>
      </c>
      <c r="E618" s="361">
        <f>E619+E620</f>
        <v>8390717.4000000004</v>
      </c>
      <c r="F618" s="361">
        <f>F619+F620</f>
        <v>1873822</v>
      </c>
      <c r="G618" s="1051"/>
      <c r="H618" s="1298"/>
      <c r="I618" s="1051"/>
      <c r="J618" s="1289"/>
      <c r="K618" s="1319"/>
      <c r="L618" s="979">
        <f>L619+L620</f>
        <v>8390717.4000000004</v>
      </c>
    </row>
    <row r="619" spans="1:12" ht="19.5" hidden="1" customHeight="1" x14ac:dyDescent="0.25">
      <c r="A619" s="1355"/>
      <c r="B619" s="1133"/>
      <c r="C619" s="1052"/>
      <c r="D619" s="49" t="s">
        <v>283</v>
      </c>
      <c r="E619" s="316">
        <f>E622</f>
        <v>8390717.4000000004</v>
      </c>
      <c r="F619" s="316">
        <f>F622</f>
        <v>1873822</v>
      </c>
      <c r="G619" s="1052"/>
      <c r="H619" s="1299"/>
      <c r="I619" s="1052"/>
      <c r="J619" s="1290"/>
      <c r="K619" s="1320"/>
      <c r="L619" s="808">
        <f>L622</f>
        <v>8390717.4000000004</v>
      </c>
    </row>
    <row r="620" spans="1:12" ht="19.5" hidden="1" customHeight="1" thickBot="1" x14ac:dyDescent="0.3">
      <c r="A620" s="1355"/>
      <c r="B620" s="1134"/>
      <c r="C620" s="1053"/>
      <c r="D620" s="57" t="s">
        <v>282</v>
      </c>
      <c r="E620" s="716">
        <f>E623</f>
        <v>0</v>
      </c>
      <c r="F620" s="716">
        <f>F623</f>
        <v>0</v>
      </c>
      <c r="G620" s="1053"/>
      <c r="H620" s="1300"/>
      <c r="I620" s="1053"/>
      <c r="J620" s="1291"/>
      <c r="K620" s="1321"/>
      <c r="L620" s="982">
        <f>L623</f>
        <v>0</v>
      </c>
    </row>
    <row r="621" spans="1:12" ht="123" hidden="1" customHeight="1" x14ac:dyDescent="0.25">
      <c r="A621" s="1355"/>
      <c r="B621" s="1127" t="s">
        <v>387</v>
      </c>
      <c r="C621" s="1051" t="s">
        <v>180</v>
      </c>
      <c r="D621" s="347" t="s">
        <v>376</v>
      </c>
      <c r="E621" s="350">
        <f>E622+E623</f>
        <v>8390717.4000000004</v>
      </c>
      <c r="F621" s="344">
        <f>F622+F623</f>
        <v>1873822</v>
      </c>
      <c r="G621" s="1051"/>
      <c r="H621" s="757" t="s">
        <v>388</v>
      </c>
      <c r="I621" s="775" t="s">
        <v>357</v>
      </c>
      <c r="J621" s="782">
        <v>685</v>
      </c>
      <c r="K621" s="783">
        <f>83+96</f>
        <v>179</v>
      </c>
      <c r="L621" s="981">
        <f>L622+L623</f>
        <v>8390717.4000000004</v>
      </c>
    </row>
    <row r="622" spans="1:12" ht="137.25" hidden="1" customHeight="1" x14ac:dyDescent="0.25">
      <c r="A622" s="1355"/>
      <c r="B622" s="1128"/>
      <c r="C622" s="1052"/>
      <c r="D622" s="49" t="s">
        <v>283</v>
      </c>
      <c r="E622" s="351">
        <v>8390717.4000000004</v>
      </c>
      <c r="F622" s="331">
        <v>1873822</v>
      </c>
      <c r="G622" s="1052"/>
      <c r="H622" s="758" t="s">
        <v>389</v>
      </c>
      <c r="I622" s="778" t="s">
        <v>357</v>
      </c>
      <c r="J622" s="779">
        <v>10</v>
      </c>
      <c r="K622" s="781">
        <f>17+32</f>
        <v>49</v>
      </c>
      <c r="L622" s="964">
        <v>8390717.4000000004</v>
      </c>
    </row>
    <row r="623" spans="1:12" ht="84" hidden="1" customHeight="1" thickBot="1" x14ac:dyDescent="0.3">
      <c r="A623" s="1355"/>
      <c r="B623" s="1128"/>
      <c r="C623" s="1052"/>
      <c r="D623" s="142" t="s">
        <v>282</v>
      </c>
      <c r="E623" s="352">
        <f>0</f>
        <v>0</v>
      </c>
      <c r="F623" s="332">
        <v>0</v>
      </c>
      <c r="G623" s="1052"/>
      <c r="H623" s="894" t="s">
        <v>516</v>
      </c>
      <c r="I623" s="778" t="s">
        <v>518</v>
      </c>
      <c r="J623" s="779">
        <v>111240</v>
      </c>
      <c r="K623" s="781">
        <f>11952+17064</f>
        <v>29016</v>
      </c>
      <c r="L623" s="964">
        <v>0</v>
      </c>
    </row>
    <row r="624" spans="1:12" ht="66" hidden="1" customHeight="1" thickBot="1" x14ac:dyDescent="0.3">
      <c r="A624" s="947"/>
      <c r="B624" s="1113"/>
      <c r="C624" s="1052"/>
      <c r="D624" s="909"/>
      <c r="E624" s="717"/>
      <c r="F624" s="936"/>
      <c r="G624" s="1052"/>
      <c r="H624" s="759" t="s">
        <v>517</v>
      </c>
      <c r="I624" s="776" t="s">
        <v>518</v>
      </c>
      <c r="J624" s="785">
        <v>5060</v>
      </c>
      <c r="K624" s="784">
        <f>4896</f>
        <v>4896</v>
      </c>
      <c r="L624" s="993"/>
    </row>
    <row r="625" spans="1:12" ht="18" hidden="1" customHeight="1" x14ac:dyDescent="0.25">
      <c r="A625" s="1045"/>
      <c r="B625" s="1392" t="s">
        <v>391</v>
      </c>
      <c r="C625" s="1077" t="s">
        <v>180</v>
      </c>
      <c r="D625" s="731" t="s">
        <v>376</v>
      </c>
      <c r="E625" s="362">
        <f>E626+E627</f>
        <v>4243526.68</v>
      </c>
      <c r="F625" s="362">
        <f>F626+F627</f>
        <v>956182.05</v>
      </c>
      <c r="G625" s="1077"/>
      <c r="H625" s="1241"/>
      <c r="I625" s="1077"/>
      <c r="J625" s="1256"/>
      <c r="K625" s="1259"/>
      <c r="L625" s="981">
        <f>L626+L627</f>
        <v>4243526.68</v>
      </c>
    </row>
    <row r="626" spans="1:12" ht="18" hidden="1" customHeight="1" x14ac:dyDescent="0.25">
      <c r="A626" s="1046"/>
      <c r="B626" s="1393"/>
      <c r="C626" s="1078"/>
      <c r="D626" s="732" t="s">
        <v>283</v>
      </c>
      <c r="E626" s="363">
        <f>E629</f>
        <v>4243526.68</v>
      </c>
      <c r="F626" s="363">
        <f>F629</f>
        <v>956182.05</v>
      </c>
      <c r="G626" s="1078"/>
      <c r="H626" s="1242"/>
      <c r="I626" s="1078"/>
      <c r="J626" s="1257"/>
      <c r="K626" s="1260"/>
      <c r="L626" s="988">
        <f>L629</f>
        <v>4243526.68</v>
      </c>
    </row>
    <row r="627" spans="1:12" ht="18" hidden="1" customHeight="1" thickBot="1" x14ac:dyDescent="0.3">
      <c r="A627" s="1046"/>
      <c r="B627" s="1394"/>
      <c r="C627" s="1079"/>
      <c r="D627" s="733" t="s">
        <v>282</v>
      </c>
      <c r="E627" s="364">
        <f>E630</f>
        <v>0</v>
      </c>
      <c r="F627" s="364">
        <f>F630</f>
        <v>0</v>
      </c>
      <c r="G627" s="1079"/>
      <c r="H627" s="1243"/>
      <c r="I627" s="1079"/>
      <c r="J627" s="1258"/>
      <c r="K627" s="1261"/>
      <c r="L627" s="997">
        <f>L630</f>
        <v>0</v>
      </c>
    </row>
    <row r="628" spans="1:12" ht="18.75" hidden="1" customHeight="1" x14ac:dyDescent="0.25">
      <c r="A628" s="1046"/>
      <c r="B628" s="1400" t="s">
        <v>390</v>
      </c>
      <c r="C628" s="1045" t="s">
        <v>180</v>
      </c>
      <c r="D628" s="347" t="s">
        <v>376</v>
      </c>
      <c r="E628" s="346">
        <f>E629+E630</f>
        <v>4243526.68</v>
      </c>
      <c r="F628" s="346">
        <f>F629+F630</f>
        <v>956182.05</v>
      </c>
      <c r="G628" s="1051"/>
      <c r="H628" s="1298"/>
      <c r="I628" s="1051"/>
      <c r="J628" s="1289"/>
      <c r="K628" s="1319"/>
      <c r="L628" s="979">
        <f>L629+L630</f>
        <v>4243526.68</v>
      </c>
    </row>
    <row r="629" spans="1:12" ht="18.75" hidden="1" customHeight="1" x14ac:dyDescent="0.25">
      <c r="A629" s="1046"/>
      <c r="B629" s="1401"/>
      <c r="C629" s="1046"/>
      <c r="D629" s="49" t="s">
        <v>283</v>
      </c>
      <c r="E629" s="337">
        <f>E632+E635+E638</f>
        <v>4243526.68</v>
      </c>
      <c r="F629" s="337">
        <f>F632+F635+F638</f>
        <v>956182.05</v>
      </c>
      <c r="G629" s="1052"/>
      <c r="H629" s="1299"/>
      <c r="I629" s="1052"/>
      <c r="J629" s="1290"/>
      <c r="K629" s="1320"/>
      <c r="L629" s="808">
        <f>L632+L635+L638</f>
        <v>4243526.68</v>
      </c>
    </row>
    <row r="630" spans="1:12" ht="18.75" hidden="1" customHeight="1" thickBot="1" x14ac:dyDescent="0.3">
      <c r="A630" s="1046"/>
      <c r="B630" s="1402"/>
      <c r="C630" s="1047"/>
      <c r="D630" s="142" t="s">
        <v>282</v>
      </c>
      <c r="E630" s="338">
        <f>E633+E636+E639</f>
        <v>0</v>
      </c>
      <c r="F630" s="338">
        <f>F633+F636+F639</f>
        <v>0</v>
      </c>
      <c r="G630" s="1053"/>
      <c r="H630" s="1300"/>
      <c r="I630" s="1053"/>
      <c r="J630" s="1291"/>
      <c r="K630" s="1321"/>
      <c r="L630" s="982">
        <f>L633+L636+L639</f>
        <v>0</v>
      </c>
    </row>
    <row r="631" spans="1:12" ht="56.25" hidden="1" customHeight="1" x14ac:dyDescent="0.25">
      <c r="A631" s="1046"/>
      <c r="B631" s="1348" t="s">
        <v>29</v>
      </c>
      <c r="C631" s="1041" t="s">
        <v>180</v>
      </c>
      <c r="D631" s="347" t="s">
        <v>376</v>
      </c>
      <c r="E631" s="350">
        <f>E632+E633</f>
        <v>3500</v>
      </c>
      <c r="F631" s="344">
        <f>F632+F633</f>
        <v>0</v>
      </c>
      <c r="G631" s="775"/>
      <c r="H631" s="1286" t="s">
        <v>392</v>
      </c>
      <c r="I631" s="1051" t="s">
        <v>357</v>
      </c>
      <c r="J631" s="1289">
        <v>7</v>
      </c>
      <c r="K631" s="1283">
        <f>0</f>
        <v>0</v>
      </c>
      <c r="L631" s="979">
        <f>L632+L633</f>
        <v>3500</v>
      </c>
    </row>
    <row r="632" spans="1:12" ht="56.25" hidden="1" customHeight="1" x14ac:dyDescent="0.25">
      <c r="A632" s="1046"/>
      <c r="B632" s="1349"/>
      <c r="C632" s="1111"/>
      <c r="D632" s="49" t="s">
        <v>283</v>
      </c>
      <c r="E632" s="466">
        <v>3500</v>
      </c>
      <c r="F632" s="464">
        <v>0</v>
      </c>
      <c r="G632" s="777"/>
      <c r="H632" s="1287"/>
      <c r="I632" s="1052"/>
      <c r="J632" s="1290"/>
      <c r="K632" s="1284"/>
      <c r="L632" s="987">
        <v>3500</v>
      </c>
    </row>
    <row r="633" spans="1:12" ht="56.25" hidden="1" customHeight="1" thickBot="1" x14ac:dyDescent="0.3">
      <c r="A633" s="1046"/>
      <c r="B633" s="1350"/>
      <c r="C633" s="1042"/>
      <c r="D633" s="142" t="s">
        <v>282</v>
      </c>
      <c r="E633" s="353">
        <f>0</f>
        <v>0</v>
      </c>
      <c r="F633" s="333">
        <v>0</v>
      </c>
      <c r="G633" s="909"/>
      <c r="H633" s="1288"/>
      <c r="I633" s="1053"/>
      <c r="J633" s="1291"/>
      <c r="K633" s="1285"/>
      <c r="L633" s="983">
        <v>0</v>
      </c>
    </row>
    <row r="634" spans="1:12" ht="58.5" hidden="1" customHeight="1" x14ac:dyDescent="0.25">
      <c r="A634" s="1046"/>
      <c r="B634" s="1351" t="s">
        <v>30</v>
      </c>
      <c r="C634" s="1051"/>
      <c r="D634" s="347" t="s">
        <v>376</v>
      </c>
      <c r="E634" s="350">
        <f>E635+E636</f>
        <v>301742</v>
      </c>
      <c r="F634" s="344">
        <f>F635+F636</f>
        <v>0</v>
      </c>
      <c r="G634" s="775"/>
      <c r="H634" s="1286" t="s">
        <v>393</v>
      </c>
      <c r="I634" s="1051" t="s">
        <v>357</v>
      </c>
      <c r="J634" s="1289">
        <v>7</v>
      </c>
      <c r="K634" s="1403">
        <f>0</f>
        <v>0</v>
      </c>
      <c r="L634" s="979">
        <f>L635+L636</f>
        <v>301742</v>
      </c>
    </row>
    <row r="635" spans="1:12" ht="58.5" hidden="1" customHeight="1" x14ac:dyDescent="0.25">
      <c r="A635" s="1046"/>
      <c r="B635" s="1352"/>
      <c r="C635" s="1052"/>
      <c r="D635" s="49" t="s">
        <v>283</v>
      </c>
      <c r="E635" s="466">
        <v>301742</v>
      </c>
      <c r="F635" s="464">
        <v>0</v>
      </c>
      <c r="G635" s="777"/>
      <c r="H635" s="1287"/>
      <c r="I635" s="1052"/>
      <c r="J635" s="1290"/>
      <c r="K635" s="1404"/>
      <c r="L635" s="987">
        <v>301742</v>
      </c>
    </row>
    <row r="636" spans="1:12" ht="58.5" hidden="1" customHeight="1" thickBot="1" x14ac:dyDescent="0.3">
      <c r="A636" s="1046"/>
      <c r="B636" s="1353"/>
      <c r="C636" s="1053"/>
      <c r="D636" s="142" t="s">
        <v>282</v>
      </c>
      <c r="E636" s="353">
        <f>0</f>
        <v>0</v>
      </c>
      <c r="F636" s="333">
        <v>0</v>
      </c>
      <c r="G636" s="909"/>
      <c r="H636" s="1288"/>
      <c r="I636" s="1053"/>
      <c r="J636" s="1291"/>
      <c r="K636" s="1405"/>
      <c r="L636" s="983">
        <v>0</v>
      </c>
    </row>
    <row r="637" spans="1:12" ht="41.25" hidden="1" customHeight="1" x14ac:dyDescent="0.25">
      <c r="A637" s="1046"/>
      <c r="B637" s="1345" t="s">
        <v>394</v>
      </c>
      <c r="C637" s="740"/>
      <c r="D637" s="347" t="s">
        <v>376</v>
      </c>
      <c r="E637" s="350">
        <f>E638+E639</f>
        <v>3938284.68</v>
      </c>
      <c r="F637" s="344">
        <f>F638+F639</f>
        <v>956182.05</v>
      </c>
      <c r="G637" s="1051"/>
      <c r="H637" s="1286" t="s">
        <v>395</v>
      </c>
      <c r="I637" s="1051" t="s">
        <v>357</v>
      </c>
      <c r="J637" s="1289">
        <v>58</v>
      </c>
      <c r="K637" s="1283">
        <f>41+19</f>
        <v>60</v>
      </c>
      <c r="L637" s="979">
        <f>L638+L639</f>
        <v>3938284.68</v>
      </c>
    </row>
    <row r="638" spans="1:12" ht="41.25" hidden="1" customHeight="1" x14ac:dyDescent="0.25">
      <c r="A638" s="1046"/>
      <c r="B638" s="1346"/>
      <c r="C638" s="741"/>
      <c r="D638" s="49" t="s">
        <v>283</v>
      </c>
      <c r="E638" s="466">
        <v>3938284.68</v>
      </c>
      <c r="F638" s="464">
        <v>956182.05</v>
      </c>
      <c r="G638" s="1052"/>
      <c r="H638" s="1287"/>
      <c r="I638" s="1052"/>
      <c r="J638" s="1290"/>
      <c r="K638" s="1284"/>
      <c r="L638" s="987">
        <v>3938284.68</v>
      </c>
    </row>
    <row r="639" spans="1:12" ht="41.25" hidden="1" customHeight="1" thickBot="1" x14ac:dyDescent="0.3">
      <c r="A639" s="1047"/>
      <c r="B639" s="1347"/>
      <c r="C639" s="742"/>
      <c r="D639" s="142" t="s">
        <v>282</v>
      </c>
      <c r="E639" s="353">
        <f>0</f>
        <v>0</v>
      </c>
      <c r="F639" s="333">
        <v>0</v>
      </c>
      <c r="G639" s="1053"/>
      <c r="H639" s="1288"/>
      <c r="I639" s="1053"/>
      <c r="J639" s="1291"/>
      <c r="K639" s="1285"/>
      <c r="L639" s="983">
        <v>0</v>
      </c>
    </row>
    <row r="640" spans="1:12" ht="17.25" hidden="1" customHeight="1" x14ac:dyDescent="0.25">
      <c r="A640" s="944"/>
      <c r="B640" s="949"/>
      <c r="C640" s="468"/>
      <c r="D640" s="468"/>
      <c r="E640" s="323"/>
      <c r="F640" s="323"/>
      <c r="G640" s="780"/>
      <c r="H640" s="950"/>
      <c r="I640" s="780"/>
      <c r="J640" s="713"/>
      <c r="K640" s="780"/>
      <c r="L640" s="469"/>
    </row>
    <row r="641" spans="1:12" ht="16.5" hidden="1" customHeight="1" x14ac:dyDescent="0.25">
      <c r="B641" s="469"/>
      <c r="L641" s="973" t="s">
        <v>333</v>
      </c>
    </row>
    <row r="642" spans="1:12" ht="35.25" hidden="1" customHeight="1" x14ac:dyDescent="0.25">
      <c r="A642" s="1268" t="s">
        <v>409</v>
      </c>
      <c r="B642" s="1268"/>
      <c r="C642" s="1268"/>
      <c r="D642" s="1268"/>
      <c r="E642" s="1268"/>
      <c r="F642" s="1268"/>
      <c r="G642" s="1268"/>
      <c r="H642" s="1268"/>
      <c r="I642" s="1268"/>
      <c r="J642" s="1268"/>
      <c r="K642" s="1268"/>
      <c r="L642" s="1268"/>
    </row>
    <row r="643" spans="1:12" ht="16.5" hidden="1" customHeight="1" x14ac:dyDescent="0.25">
      <c r="A643" s="719"/>
      <c r="B643" s="751" t="s">
        <v>334</v>
      </c>
      <c r="C643" s="1269" t="s">
        <v>396</v>
      </c>
      <c r="D643" s="1269"/>
      <c r="E643" s="1269"/>
      <c r="F643" s="319"/>
      <c r="G643" s="948"/>
    </row>
    <row r="644" spans="1:12" ht="16.5" hidden="1" customHeight="1" x14ac:dyDescent="0.25">
      <c r="A644" s="719"/>
      <c r="B644" s="751" t="s">
        <v>175</v>
      </c>
      <c r="C644" s="1270" t="s">
        <v>180</v>
      </c>
      <c r="D644" s="1270"/>
      <c r="E644" s="1270"/>
      <c r="F644" s="319"/>
      <c r="G644" s="948"/>
    </row>
    <row r="645" spans="1:12" ht="15.75" hidden="1" thickBot="1" x14ac:dyDescent="0.3">
      <c r="A645" s="719"/>
      <c r="B645" s="751"/>
      <c r="C645" s="951"/>
      <c r="D645" s="951"/>
      <c r="E645" s="324"/>
      <c r="F645" s="319"/>
      <c r="G645" s="948"/>
    </row>
    <row r="646" spans="1:12" ht="77.25" hidden="1" thickBot="1" x14ac:dyDescent="0.3">
      <c r="A646" s="720" t="s">
        <v>245</v>
      </c>
      <c r="B646" s="721" t="s">
        <v>336</v>
      </c>
      <c r="C646" s="722" t="s">
        <v>175</v>
      </c>
      <c r="D646" s="722" t="s">
        <v>337</v>
      </c>
      <c r="E646" s="320" t="s">
        <v>338</v>
      </c>
      <c r="F646" s="330" t="s">
        <v>339</v>
      </c>
      <c r="G646" s="520" t="s">
        <v>340</v>
      </c>
      <c r="H646" s="756" t="s">
        <v>341</v>
      </c>
      <c r="I646" s="181" t="s">
        <v>342</v>
      </c>
      <c r="J646" s="714" t="s">
        <v>343</v>
      </c>
      <c r="K646" s="723" t="s">
        <v>344</v>
      </c>
      <c r="L646" s="974" t="s">
        <v>345</v>
      </c>
    </row>
    <row r="647" spans="1:12" ht="15.75" hidden="1" thickBot="1" x14ac:dyDescent="0.3">
      <c r="A647" s="724">
        <v>1</v>
      </c>
      <c r="B647" s="721">
        <v>2</v>
      </c>
      <c r="C647" s="725">
        <v>3</v>
      </c>
      <c r="D647" s="722">
        <v>4</v>
      </c>
      <c r="E647" s="342">
        <v>5</v>
      </c>
      <c r="F647" s="343">
        <v>6</v>
      </c>
      <c r="G647" s="520">
        <v>7</v>
      </c>
      <c r="H647" s="756">
        <v>8</v>
      </c>
      <c r="I647" s="520">
        <v>9</v>
      </c>
      <c r="J647" s="715">
        <v>10</v>
      </c>
      <c r="K647" s="726">
        <v>11</v>
      </c>
      <c r="L647" s="974">
        <v>12</v>
      </c>
    </row>
    <row r="648" spans="1:12" hidden="1" x14ac:dyDescent="0.25">
      <c r="A648" s="1342"/>
      <c r="B648" s="1339" t="s">
        <v>2</v>
      </c>
      <c r="C648" s="1244" t="s">
        <v>180</v>
      </c>
      <c r="D648" s="347" t="s">
        <v>375</v>
      </c>
      <c r="E648" s="361">
        <f>E649</f>
        <v>31600000</v>
      </c>
      <c r="F648" s="361">
        <f>F649</f>
        <v>690680.17</v>
      </c>
      <c r="G648" s="1244"/>
      <c r="H648" s="1241"/>
      <c r="I648" s="1244"/>
      <c r="J648" s="1247"/>
      <c r="K648" s="1250"/>
      <c r="L648" s="981">
        <f>L649</f>
        <v>31600000</v>
      </c>
    </row>
    <row r="649" spans="1:12" hidden="1" x14ac:dyDescent="0.25">
      <c r="A649" s="1343"/>
      <c r="B649" s="1340"/>
      <c r="C649" s="1245"/>
      <c r="D649" s="737" t="s">
        <v>376</v>
      </c>
      <c r="E649" s="365">
        <f>E650+E651</f>
        <v>31600000</v>
      </c>
      <c r="F649" s="365">
        <f>F650+F651</f>
        <v>690680.17</v>
      </c>
      <c r="G649" s="1245"/>
      <c r="H649" s="1242"/>
      <c r="I649" s="1245"/>
      <c r="J649" s="1248"/>
      <c r="K649" s="1251"/>
      <c r="L649" s="988">
        <f>L650+L651</f>
        <v>31600000</v>
      </c>
    </row>
    <row r="650" spans="1:12" hidden="1" x14ac:dyDescent="0.25">
      <c r="A650" s="1343"/>
      <c r="B650" s="1340"/>
      <c r="C650" s="1245"/>
      <c r="D650" s="49" t="s">
        <v>283</v>
      </c>
      <c r="E650" s="365">
        <f>E654+E663</f>
        <v>31600000</v>
      </c>
      <c r="F650" s="365">
        <f>F654+F663</f>
        <v>690680.17</v>
      </c>
      <c r="G650" s="1245"/>
      <c r="H650" s="1242"/>
      <c r="I650" s="1245"/>
      <c r="J650" s="1248"/>
      <c r="K650" s="1251"/>
      <c r="L650" s="988">
        <f>L654+L663</f>
        <v>31600000</v>
      </c>
    </row>
    <row r="651" spans="1:12" ht="15.75" hidden="1" thickBot="1" x14ac:dyDescent="0.3">
      <c r="A651" s="1344"/>
      <c r="B651" s="1341"/>
      <c r="C651" s="1246"/>
      <c r="D651" s="142" t="s">
        <v>282</v>
      </c>
      <c r="E651" s="366">
        <f>E655+E664</f>
        <v>0</v>
      </c>
      <c r="F651" s="366">
        <f>F655+F664</f>
        <v>0</v>
      </c>
      <c r="G651" s="1246"/>
      <c r="H651" s="1243"/>
      <c r="I651" s="1246"/>
      <c r="J651" s="1249"/>
      <c r="K651" s="1252"/>
      <c r="L651" s="997">
        <f>L655+L664</f>
        <v>0</v>
      </c>
    </row>
    <row r="652" spans="1:12" ht="15.75" hidden="1" thickBot="1" x14ac:dyDescent="0.3">
      <c r="A652" s="1265"/>
      <c r="B652" s="1266"/>
      <c r="C652" s="1266"/>
      <c r="D652" s="1266"/>
      <c r="E652" s="1266"/>
      <c r="F652" s="1266"/>
      <c r="G652" s="1266"/>
      <c r="H652" s="1266"/>
      <c r="I652" s="1266"/>
      <c r="J652" s="1266"/>
      <c r="K652" s="1266"/>
      <c r="L652" s="1267"/>
    </row>
    <row r="653" spans="1:12" ht="15.75" hidden="1" customHeight="1" x14ac:dyDescent="0.25">
      <c r="A653" s="1041"/>
      <c r="B653" s="1054" t="s">
        <v>397</v>
      </c>
      <c r="C653" s="1274" t="s">
        <v>180</v>
      </c>
      <c r="D653" s="731" t="s">
        <v>376</v>
      </c>
      <c r="E653" s="362">
        <f>E654+E655</f>
        <v>31600000</v>
      </c>
      <c r="F653" s="362">
        <f>F654+F655</f>
        <v>690680.17</v>
      </c>
      <c r="G653" s="1077"/>
      <c r="H653" s="1333"/>
      <c r="I653" s="1077"/>
      <c r="J653" s="1256"/>
      <c r="K653" s="1259"/>
      <c r="L653" s="979">
        <f>L654+L655</f>
        <v>31600000</v>
      </c>
    </row>
    <row r="654" spans="1:12" hidden="1" x14ac:dyDescent="0.25">
      <c r="A654" s="1111"/>
      <c r="B654" s="1055"/>
      <c r="C654" s="1275"/>
      <c r="D654" s="732" t="s">
        <v>283</v>
      </c>
      <c r="E654" s="363">
        <f>E657</f>
        <v>31600000</v>
      </c>
      <c r="F654" s="363">
        <f>F657</f>
        <v>690680.17</v>
      </c>
      <c r="G654" s="1078"/>
      <c r="H654" s="1334"/>
      <c r="I654" s="1078"/>
      <c r="J654" s="1257"/>
      <c r="K654" s="1260"/>
      <c r="L654" s="980">
        <f>L657</f>
        <v>31600000</v>
      </c>
    </row>
    <row r="655" spans="1:12" ht="15.75" hidden="1" thickBot="1" x14ac:dyDescent="0.3">
      <c r="A655" s="1111"/>
      <c r="B655" s="1056"/>
      <c r="C655" s="1276"/>
      <c r="D655" s="733" t="s">
        <v>282</v>
      </c>
      <c r="E655" s="364">
        <f>E658</f>
        <v>0</v>
      </c>
      <c r="F655" s="364">
        <f>F658</f>
        <v>0</v>
      </c>
      <c r="G655" s="1079"/>
      <c r="H655" s="1335"/>
      <c r="I655" s="1079"/>
      <c r="J655" s="1258"/>
      <c r="K655" s="1261"/>
      <c r="L655" s="1003">
        <f>L658</f>
        <v>0</v>
      </c>
    </row>
    <row r="656" spans="1:12" ht="18" hidden="1" customHeight="1" x14ac:dyDescent="0.25">
      <c r="A656" s="1111"/>
      <c r="B656" s="1336" t="s">
        <v>398</v>
      </c>
      <c r="C656" s="1051"/>
      <c r="D656" s="729" t="s">
        <v>376</v>
      </c>
      <c r="E656" s="345">
        <f>E657+E658</f>
        <v>31600000</v>
      </c>
      <c r="F656" s="345">
        <f>F657+F658</f>
        <v>690680.17</v>
      </c>
      <c r="G656" s="1051"/>
      <c r="H656" s="1310"/>
      <c r="I656" s="1051"/>
      <c r="J656" s="1289"/>
      <c r="K656" s="1319"/>
      <c r="L656" s="979">
        <f>L657+L658</f>
        <v>31600000</v>
      </c>
    </row>
    <row r="657" spans="1:12" ht="18" hidden="1" customHeight="1" x14ac:dyDescent="0.25">
      <c r="A657" s="1111"/>
      <c r="B657" s="1337"/>
      <c r="C657" s="1052"/>
      <c r="D657" s="728" t="s">
        <v>283</v>
      </c>
      <c r="E657" s="325">
        <f>E660</f>
        <v>31600000</v>
      </c>
      <c r="F657" s="325">
        <f>F660</f>
        <v>690680.17</v>
      </c>
      <c r="G657" s="1052"/>
      <c r="H657" s="1311"/>
      <c r="I657" s="1052"/>
      <c r="J657" s="1290"/>
      <c r="K657" s="1320"/>
      <c r="L657" s="987">
        <f>L660</f>
        <v>31600000</v>
      </c>
    </row>
    <row r="658" spans="1:12" ht="18" hidden="1" customHeight="1" thickBot="1" x14ac:dyDescent="0.3">
      <c r="A658" s="1111"/>
      <c r="B658" s="1338"/>
      <c r="C658" s="1053"/>
      <c r="D658" s="151" t="s">
        <v>282</v>
      </c>
      <c r="E658" s="326">
        <f>E661</f>
        <v>0</v>
      </c>
      <c r="F658" s="326">
        <f>F661</f>
        <v>0</v>
      </c>
      <c r="G658" s="1053"/>
      <c r="H658" s="1312"/>
      <c r="I658" s="1053"/>
      <c r="J658" s="1291"/>
      <c r="K658" s="1321"/>
      <c r="L658" s="983">
        <f>L661</f>
        <v>0</v>
      </c>
    </row>
    <row r="659" spans="1:12" ht="32.25" hidden="1" customHeight="1" x14ac:dyDescent="0.25">
      <c r="A659" s="1111"/>
      <c r="B659" s="1127" t="s">
        <v>31</v>
      </c>
      <c r="C659" s="1322" t="s">
        <v>180</v>
      </c>
      <c r="D659" s="729" t="s">
        <v>376</v>
      </c>
      <c r="E659" s="348">
        <f>E660+E661</f>
        <v>31600000</v>
      </c>
      <c r="F659" s="348">
        <f>F660+F661</f>
        <v>690680.17</v>
      </c>
      <c r="G659" s="1051"/>
      <c r="H659" s="1235" t="s">
        <v>399</v>
      </c>
      <c r="I659" s="1051" t="s">
        <v>351</v>
      </c>
      <c r="J659" s="1313">
        <v>80</v>
      </c>
      <c r="K659" s="1283">
        <v>88.5</v>
      </c>
      <c r="L659" s="981">
        <f>L660+L661</f>
        <v>31600000</v>
      </c>
    </row>
    <row r="660" spans="1:12" ht="32.25" hidden="1" customHeight="1" x14ac:dyDescent="0.25">
      <c r="A660" s="1111"/>
      <c r="B660" s="1128"/>
      <c r="C660" s="1323"/>
      <c r="D660" s="728" t="s">
        <v>283</v>
      </c>
      <c r="E660" s="709">
        <v>31600000</v>
      </c>
      <c r="F660" s="710">
        <v>690680.17</v>
      </c>
      <c r="G660" s="1052"/>
      <c r="H660" s="1236"/>
      <c r="I660" s="1052"/>
      <c r="J660" s="1314"/>
      <c r="K660" s="1284"/>
      <c r="L660" s="992">
        <v>31600000</v>
      </c>
    </row>
    <row r="661" spans="1:12" ht="32.25" hidden="1" customHeight="1" thickBot="1" x14ac:dyDescent="0.3">
      <c r="A661" s="1111"/>
      <c r="B661" s="1113"/>
      <c r="C661" s="1324"/>
      <c r="D661" s="151" t="s">
        <v>282</v>
      </c>
      <c r="E661" s="327">
        <f>0</f>
        <v>0</v>
      </c>
      <c r="F661" s="339">
        <v>0</v>
      </c>
      <c r="G661" s="1053"/>
      <c r="H661" s="1237"/>
      <c r="I661" s="1053"/>
      <c r="J661" s="1315"/>
      <c r="K661" s="1285"/>
      <c r="L661" s="880">
        <v>0</v>
      </c>
    </row>
    <row r="662" spans="1:12" ht="15.75" hidden="1" customHeight="1" x14ac:dyDescent="0.25">
      <c r="A662" s="1111"/>
      <c r="B662" s="1054" t="s">
        <v>400</v>
      </c>
      <c r="C662" s="1274" t="s">
        <v>180</v>
      </c>
      <c r="D662" s="731" t="s">
        <v>376</v>
      </c>
      <c r="E662" s="362">
        <f>E663+E664</f>
        <v>0</v>
      </c>
      <c r="F662" s="362">
        <f>F663+F664</f>
        <v>0</v>
      </c>
      <c r="G662" s="1077"/>
      <c r="H662" s="1241"/>
      <c r="I662" s="1077"/>
      <c r="J662" s="1256"/>
      <c r="K662" s="1259"/>
      <c r="L662" s="979">
        <f>L663+L664</f>
        <v>0</v>
      </c>
    </row>
    <row r="663" spans="1:12" ht="15.75" hidden="1" customHeight="1" x14ac:dyDescent="0.25">
      <c r="A663" s="1111"/>
      <c r="B663" s="1055"/>
      <c r="C663" s="1275"/>
      <c r="D663" s="732" t="s">
        <v>283</v>
      </c>
      <c r="E663" s="363">
        <f>E666</f>
        <v>0</v>
      </c>
      <c r="F663" s="363">
        <f>F666</f>
        <v>0</v>
      </c>
      <c r="G663" s="1078"/>
      <c r="H663" s="1242"/>
      <c r="I663" s="1078"/>
      <c r="J663" s="1257"/>
      <c r="K663" s="1260"/>
      <c r="L663" s="980">
        <f>L666</f>
        <v>0</v>
      </c>
    </row>
    <row r="664" spans="1:12" ht="15.75" hidden="1" customHeight="1" thickBot="1" x14ac:dyDescent="0.3">
      <c r="A664" s="1111"/>
      <c r="B664" s="1056"/>
      <c r="C664" s="1276"/>
      <c r="D664" s="733" t="s">
        <v>282</v>
      </c>
      <c r="E664" s="364">
        <f>E667</f>
        <v>0</v>
      </c>
      <c r="F664" s="364">
        <f>F667</f>
        <v>0</v>
      </c>
      <c r="G664" s="1079"/>
      <c r="H664" s="1243"/>
      <c r="I664" s="1079"/>
      <c r="J664" s="1258"/>
      <c r="K664" s="1261"/>
      <c r="L664" s="1003">
        <f>L667</f>
        <v>0</v>
      </c>
    </row>
    <row r="665" spans="1:12" ht="16.5" hidden="1" customHeight="1" x14ac:dyDescent="0.25">
      <c r="A665" s="1111"/>
      <c r="B665" s="1132" t="s">
        <v>401</v>
      </c>
      <c r="C665" s="1051"/>
      <c r="D665" s="729" t="s">
        <v>376</v>
      </c>
      <c r="E665" s="361">
        <f>E666+E667</f>
        <v>0</v>
      </c>
      <c r="F665" s="361">
        <f>F666+F667</f>
        <v>0</v>
      </c>
      <c r="G665" s="1051"/>
      <c r="H665" s="1298"/>
      <c r="I665" s="1051"/>
      <c r="J665" s="1289"/>
      <c r="K665" s="1319"/>
      <c r="L665" s="981">
        <f>L666+L667</f>
        <v>0</v>
      </c>
    </row>
    <row r="666" spans="1:12" ht="16.5" hidden="1" customHeight="1" x14ac:dyDescent="0.25">
      <c r="A666" s="1111"/>
      <c r="B666" s="1133"/>
      <c r="C666" s="1052"/>
      <c r="D666" s="728" t="s">
        <v>283</v>
      </c>
      <c r="E666" s="317">
        <f>E669</f>
        <v>0</v>
      </c>
      <c r="F666" s="317">
        <f>F669</f>
        <v>0</v>
      </c>
      <c r="G666" s="1052"/>
      <c r="H666" s="1299"/>
      <c r="I666" s="1052"/>
      <c r="J666" s="1290"/>
      <c r="K666" s="1320"/>
      <c r="L666" s="992">
        <f>L669</f>
        <v>0</v>
      </c>
    </row>
    <row r="667" spans="1:12" ht="16.5" hidden="1" customHeight="1" thickBot="1" x14ac:dyDescent="0.3">
      <c r="A667" s="1111"/>
      <c r="B667" s="1133"/>
      <c r="C667" s="1052"/>
      <c r="D667" s="743" t="s">
        <v>282</v>
      </c>
      <c r="E667" s="322">
        <f>E670</f>
        <v>0</v>
      </c>
      <c r="F667" s="322">
        <f>F670</f>
        <v>0</v>
      </c>
      <c r="G667" s="1052"/>
      <c r="H667" s="1300"/>
      <c r="I667" s="1053"/>
      <c r="J667" s="1291"/>
      <c r="K667" s="1321"/>
      <c r="L667" s="880">
        <f>L670</f>
        <v>0</v>
      </c>
    </row>
    <row r="668" spans="1:12" ht="39.75" hidden="1" customHeight="1" x14ac:dyDescent="0.25">
      <c r="A668" s="1111"/>
      <c r="B668" s="1127" t="s">
        <v>402</v>
      </c>
      <c r="C668" s="1322" t="s">
        <v>180</v>
      </c>
      <c r="D668" s="729" t="s">
        <v>376</v>
      </c>
      <c r="E668" s="350">
        <f>E669+E670</f>
        <v>0</v>
      </c>
      <c r="F668" s="344">
        <f>F669+F670</f>
        <v>0</v>
      </c>
      <c r="G668" s="1051"/>
      <c r="H668" s="1235" t="s">
        <v>403</v>
      </c>
      <c r="I668" s="1051" t="s">
        <v>351</v>
      </c>
      <c r="J668" s="1313">
        <v>45</v>
      </c>
      <c r="K668" s="1283">
        <v>0</v>
      </c>
      <c r="L668" s="981">
        <f>L669+L670</f>
        <v>0</v>
      </c>
    </row>
    <row r="669" spans="1:12" ht="39.75" hidden="1" customHeight="1" x14ac:dyDescent="0.25">
      <c r="A669" s="1111"/>
      <c r="B669" s="1128"/>
      <c r="C669" s="1323"/>
      <c r="D669" s="728" t="s">
        <v>283</v>
      </c>
      <c r="E669" s="317">
        <v>0</v>
      </c>
      <c r="F669" s="464">
        <v>0</v>
      </c>
      <c r="G669" s="1052"/>
      <c r="H669" s="1236"/>
      <c r="I669" s="1052"/>
      <c r="J669" s="1314"/>
      <c r="K669" s="1284"/>
      <c r="L669" s="463">
        <v>0</v>
      </c>
    </row>
    <row r="670" spans="1:12" ht="39.75" hidden="1" customHeight="1" thickBot="1" x14ac:dyDescent="0.3">
      <c r="A670" s="1042"/>
      <c r="B670" s="1113"/>
      <c r="C670" s="1324"/>
      <c r="D670" s="151" t="s">
        <v>282</v>
      </c>
      <c r="E670" s="322">
        <f>0</f>
        <v>0</v>
      </c>
      <c r="F670" s="333">
        <v>0</v>
      </c>
      <c r="G670" s="1053"/>
      <c r="H670" s="1237"/>
      <c r="I670" s="1053"/>
      <c r="J670" s="1315"/>
      <c r="K670" s="1285"/>
      <c r="L670" s="993">
        <v>0</v>
      </c>
    </row>
    <row r="671" spans="1:12" ht="15" hidden="1" customHeight="1" x14ac:dyDescent="0.25">
      <c r="A671" s="780"/>
      <c r="B671" s="949"/>
      <c r="C671" s="941"/>
      <c r="D671" s="469"/>
      <c r="E671" s="323"/>
      <c r="F671" s="323"/>
      <c r="G671" s="780"/>
      <c r="H671" s="950"/>
      <c r="I671" s="780"/>
      <c r="J671" s="713"/>
      <c r="K671" s="780"/>
      <c r="L671" s="469"/>
    </row>
    <row r="672" spans="1:12" ht="16.5" hidden="1" customHeight="1" x14ac:dyDescent="0.25">
      <c r="B672" s="469"/>
      <c r="L672" s="973" t="s">
        <v>333</v>
      </c>
    </row>
    <row r="673" spans="1:12" ht="33" hidden="1" customHeight="1" x14ac:dyDescent="0.25">
      <c r="A673" s="1268" t="s">
        <v>409</v>
      </c>
      <c r="B673" s="1268"/>
      <c r="C673" s="1268"/>
      <c r="D673" s="1268"/>
      <c r="E673" s="1268"/>
      <c r="F673" s="1268"/>
      <c r="G673" s="1268"/>
      <c r="H673" s="1268"/>
      <c r="I673" s="1268"/>
      <c r="J673" s="1268"/>
      <c r="K673" s="1268"/>
      <c r="L673" s="1268"/>
    </row>
    <row r="674" spans="1:12" ht="16.5" hidden="1" customHeight="1" x14ac:dyDescent="0.25">
      <c r="A674" s="719"/>
      <c r="B674" s="751" t="s">
        <v>334</v>
      </c>
      <c r="C674" s="1269" t="s">
        <v>547</v>
      </c>
      <c r="D674" s="1269"/>
      <c r="E674" s="1269"/>
      <c r="F674" s="1269"/>
      <c r="G674" s="780"/>
    </row>
    <row r="675" spans="1:12" ht="16.5" hidden="1" customHeight="1" x14ac:dyDescent="0.25">
      <c r="A675" s="719"/>
      <c r="B675" s="751" t="s">
        <v>175</v>
      </c>
      <c r="C675" s="1270" t="s">
        <v>180</v>
      </c>
      <c r="D675" s="1270"/>
      <c r="E675" s="1270"/>
      <c r="F675" s="1270"/>
      <c r="G675" s="948"/>
    </row>
    <row r="676" spans="1:12" ht="16.5" hidden="1" customHeight="1" thickBot="1" x14ac:dyDescent="0.3">
      <c r="A676" s="719"/>
      <c r="B676" s="751"/>
      <c r="C676" s="752"/>
      <c r="D676" s="752"/>
      <c r="E676" s="328"/>
      <c r="F676" s="319"/>
      <c r="G676" s="948"/>
    </row>
    <row r="677" spans="1:12" ht="85.5" hidden="1" customHeight="1" thickBot="1" x14ac:dyDescent="0.3">
      <c r="A677" s="720" t="s">
        <v>245</v>
      </c>
      <c r="B677" s="721" t="s">
        <v>336</v>
      </c>
      <c r="C677" s="722" t="s">
        <v>175</v>
      </c>
      <c r="D677" s="722" t="s">
        <v>337</v>
      </c>
      <c r="E677" s="320" t="s">
        <v>338</v>
      </c>
      <c r="F677" s="330" t="s">
        <v>339</v>
      </c>
      <c r="G677" s="520" t="s">
        <v>340</v>
      </c>
      <c r="H677" s="756" t="s">
        <v>341</v>
      </c>
      <c r="I677" s="181" t="s">
        <v>342</v>
      </c>
      <c r="J677" s="714" t="s">
        <v>343</v>
      </c>
      <c r="K677" s="723" t="s">
        <v>344</v>
      </c>
      <c r="L677" s="974" t="s">
        <v>345</v>
      </c>
    </row>
    <row r="678" spans="1:12" ht="16.5" hidden="1" customHeight="1" thickBot="1" x14ac:dyDescent="0.3">
      <c r="A678" s="724">
        <v>1</v>
      </c>
      <c r="B678" s="721">
        <v>2</v>
      </c>
      <c r="C678" s="725">
        <v>3</v>
      </c>
      <c r="D678" s="722">
        <v>4</v>
      </c>
      <c r="E678" s="342">
        <v>5</v>
      </c>
      <c r="F678" s="343">
        <v>6</v>
      </c>
      <c r="G678" s="520">
        <v>7</v>
      </c>
      <c r="H678" s="756">
        <v>8</v>
      </c>
      <c r="I678" s="520">
        <v>9</v>
      </c>
      <c r="J678" s="715">
        <v>10</v>
      </c>
      <c r="K678" s="726">
        <v>11</v>
      </c>
      <c r="L678" s="974">
        <v>12</v>
      </c>
    </row>
    <row r="679" spans="1:12" ht="16.5" hidden="1" customHeight="1" x14ac:dyDescent="0.25">
      <c r="A679" s="1051"/>
      <c r="B679" s="1262" t="s">
        <v>544</v>
      </c>
      <c r="C679" s="1244" t="s">
        <v>180</v>
      </c>
      <c r="D679" s="347" t="s">
        <v>375</v>
      </c>
      <c r="E679" s="361">
        <f>E680</f>
        <v>550000</v>
      </c>
      <c r="F679" s="361">
        <f>F680</f>
        <v>0</v>
      </c>
      <c r="G679" s="1244"/>
      <c r="H679" s="1241"/>
      <c r="I679" s="1244"/>
      <c r="J679" s="1247"/>
      <c r="K679" s="1250"/>
      <c r="L679" s="981">
        <f>L680</f>
        <v>550000</v>
      </c>
    </row>
    <row r="680" spans="1:12" hidden="1" x14ac:dyDescent="0.25">
      <c r="A680" s="1052"/>
      <c r="B680" s="1263"/>
      <c r="C680" s="1245"/>
      <c r="D680" s="737" t="s">
        <v>376</v>
      </c>
      <c r="E680" s="365">
        <f>E681+E682</f>
        <v>550000</v>
      </c>
      <c r="F680" s="365">
        <f>F681+F682</f>
        <v>0</v>
      </c>
      <c r="G680" s="1245"/>
      <c r="H680" s="1242"/>
      <c r="I680" s="1245"/>
      <c r="J680" s="1248"/>
      <c r="K680" s="1251"/>
      <c r="L680" s="988">
        <f>L681+L682</f>
        <v>550000</v>
      </c>
    </row>
    <row r="681" spans="1:12" hidden="1" x14ac:dyDescent="0.25">
      <c r="A681" s="1052"/>
      <c r="B681" s="1263"/>
      <c r="C681" s="1245"/>
      <c r="D681" s="49" t="s">
        <v>283</v>
      </c>
      <c r="E681" s="365">
        <f>E685</f>
        <v>550000</v>
      </c>
      <c r="F681" s="365">
        <f>F685</f>
        <v>0</v>
      </c>
      <c r="G681" s="1245"/>
      <c r="H681" s="1242"/>
      <c r="I681" s="1245"/>
      <c r="J681" s="1248"/>
      <c r="K681" s="1251"/>
      <c r="L681" s="988">
        <f>L685</f>
        <v>550000</v>
      </c>
    </row>
    <row r="682" spans="1:12" ht="15.75" hidden="1" thickBot="1" x14ac:dyDescent="0.3">
      <c r="A682" s="1053"/>
      <c r="B682" s="1264"/>
      <c r="C682" s="1246"/>
      <c r="D682" s="142" t="s">
        <v>282</v>
      </c>
      <c r="E682" s="366">
        <f>E686</f>
        <v>0</v>
      </c>
      <c r="F682" s="366">
        <f>F686</f>
        <v>0</v>
      </c>
      <c r="G682" s="1246"/>
      <c r="H682" s="1243"/>
      <c r="I682" s="1246"/>
      <c r="J682" s="1249"/>
      <c r="K682" s="1252"/>
      <c r="L682" s="997">
        <f>L686</f>
        <v>0</v>
      </c>
    </row>
    <row r="683" spans="1:12" ht="15.75" hidden="1" thickBot="1" x14ac:dyDescent="0.3">
      <c r="A683" s="1265"/>
      <c r="B683" s="1266"/>
      <c r="C683" s="1266"/>
      <c r="D683" s="1266"/>
      <c r="E683" s="1266"/>
      <c r="F683" s="1266"/>
      <c r="G683" s="1266"/>
      <c r="H683" s="1266"/>
      <c r="I683" s="1266"/>
      <c r="J683" s="1266"/>
      <c r="K683" s="1266"/>
      <c r="L683" s="1267"/>
    </row>
    <row r="684" spans="1:12" ht="15" hidden="1" customHeight="1" x14ac:dyDescent="0.25">
      <c r="A684" s="1051"/>
      <c r="B684" s="1271" t="s">
        <v>543</v>
      </c>
      <c r="C684" s="1274" t="s">
        <v>180</v>
      </c>
      <c r="D684" s="731" t="s">
        <v>376</v>
      </c>
      <c r="E684" s="362">
        <f>E685+E686</f>
        <v>550000</v>
      </c>
      <c r="F684" s="362">
        <f>F685+F686</f>
        <v>0</v>
      </c>
      <c r="G684" s="1077"/>
      <c r="H684" s="1277"/>
      <c r="I684" s="1077"/>
      <c r="J684" s="1280"/>
      <c r="K684" s="1259"/>
      <c r="L684" s="981">
        <f>L685+L686</f>
        <v>550000</v>
      </c>
    </row>
    <row r="685" spans="1:12" hidden="1" x14ac:dyDescent="0.25">
      <c r="A685" s="1052"/>
      <c r="B685" s="1272"/>
      <c r="C685" s="1275"/>
      <c r="D685" s="732" t="s">
        <v>283</v>
      </c>
      <c r="E685" s="369">
        <f>E688</f>
        <v>550000</v>
      </c>
      <c r="F685" s="369">
        <f>F688</f>
        <v>0</v>
      </c>
      <c r="G685" s="1078"/>
      <c r="H685" s="1278"/>
      <c r="I685" s="1078"/>
      <c r="J685" s="1281"/>
      <c r="K685" s="1260"/>
      <c r="L685" s="988">
        <f>L688</f>
        <v>550000</v>
      </c>
    </row>
    <row r="686" spans="1:12" ht="15.75" hidden="1" thickBot="1" x14ac:dyDescent="0.3">
      <c r="A686" s="1052"/>
      <c r="B686" s="1273"/>
      <c r="C686" s="1276"/>
      <c r="D686" s="733" t="s">
        <v>282</v>
      </c>
      <c r="E686" s="370">
        <f>E689</f>
        <v>0</v>
      </c>
      <c r="F686" s="370">
        <f>F689</f>
        <v>0</v>
      </c>
      <c r="G686" s="1079"/>
      <c r="H686" s="1279"/>
      <c r="I686" s="1079"/>
      <c r="J686" s="1282"/>
      <c r="K686" s="1261"/>
      <c r="L686" s="997">
        <f>L689</f>
        <v>0</v>
      </c>
    </row>
    <row r="687" spans="1:12" ht="15.75" hidden="1" customHeight="1" x14ac:dyDescent="0.25">
      <c r="A687" s="1052"/>
      <c r="B687" s="1132" t="s">
        <v>545</v>
      </c>
      <c r="C687" s="1322"/>
      <c r="D687" s="729" t="s">
        <v>376</v>
      </c>
      <c r="E687" s="371">
        <f>E688+E689</f>
        <v>550000</v>
      </c>
      <c r="F687" s="371">
        <f>F688+F689</f>
        <v>0</v>
      </c>
      <c r="G687" s="1041"/>
      <c r="H687" s="1235"/>
      <c r="I687" s="1041"/>
      <c r="J687" s="1238"/>
      <c r="K687" s="1178"/>
      <c r="L687" s="895">
        <f>L688+L689</f>
        <v>550000</v>
      </c>
    </row>
    <row r="688" spans="1:12" hidden="1" x14ac:dyDescent="0.25">
      <c r="A688" s="1052"/>
      <c r="B688" s="1133"/>
      <c r="C688" s="1323"/>
      <c r="D688" s="728" t="s">
        <v>283</v>
      </c>
      <c r="E688" s="962">
        <f>E691</f>
        <v>550000</v>
      </c>
      <c r="F688" s="962">
        <f>F691</f>
        <v>0</v>
      </c>
      <c r="G688" s="1111"/>
      <c r="H688" s="1236"/>
      <c r="I688" s="1111"/>
      <c r="J688" s="1239"/>
      <c r="K688" s="1179"/>
      <c r="L688" s="463">
        <f>L691</f>
        <v>550000</v>
      </c>
    </row>
    <row r="689" spans="1:12" ht="15.75" hidden="1" thickBot="1" x14ac:dyDescent="0.3">
      <c r="A689" s="1052"/>
      <c r="B689" s="1134"/>
      <c r="C689" s="1324"/>
      <c r="D689" s="151" t="s">
        <v>282</v>
      </c>
      <c r="E689" s="329">
        <f>E692</f>
        <v>0</v>
      </c>
      <c r="F689" s="329">
        <f>F692</f>
        <v>0</v>
      </c>
      <c r="G689" s="1042"/>
      <c r="H689" s="1237"/>
      <c r="I689" s="1042"/>
      <c r="J689" s="1240"/>
      <c r="K689" s="1180"/>
      <c r="L689" s="993">
        <f>L692</f>
        <v>0</v>
      </c>
    </row>
    <row r="690" spans="1:12" ht="16.5" hidden="1" customHeight="1" x14ac:dyDescent="0.25">
      <c r="A690" s="1052"/>
      <c r="B690" s="1232" t="s">
        <v>542</v>
      </c>
      <c r="C690" s="1041" t="s">
        <v>180</v>
      </c>
      <c r="D690" s="729" t="s">
        <v>376</v>
      </c>
      <c r="E690" s="349">
        <f>E691+E692</f>
        <v>550000</v>
      </c>
      <c r="F690" s="341">
        <f>F691+F692</f>
        <v>0</v>
      </c>
      <c r="G690" s="1041" t="s">
        <v>426</v>
      </c>
      <c r="H690" s="1235" t="s">
        <v>546</v>
      </c>
      <c r="I690" s="1041" t="s">
        <v>359</v>
      </c>
      <c r="J690" s="1238" t="s">
        <v>227</v>
      </c>
      <c r="K690" s="1178" t="s">
        <v>227</v>
      </c>
      <c r="L690" s="981">
        <f>L691+L692</f>
        <v>550000</v>
      </c>
    </row>
    <row r="691" spans="1:12" hidden="1" x14ac:dyDescent="0.25">
      <c r="A691" s="1052"/>
      <c r="B691" s="1233"/>
      <c r="C691" s="1111"/>
      <c r="D691" s="728" t="s">
        <v>283</v>
      </c>
      <c r="E691" s="962">
        <v>550000</v>
      </c>
      <c r="F691" s="465">
        <v>0</v>
      </c>
      <c r="G691" s="1111"/>
      <c r="H691" s="1236"/>
      <c r="I691" s="1111"/>
      <c r="J691" s="1239"/>
      <c r="K691" s="1179"/>
      <c r="L691" s="463">
        <v>550000</v>
      </c>
    </row>
    <row r="692" spans="1:12" ht="15.75" hidden="1" thickBot="1" x14ac:dyDescent="0.3">
      <c r="A692" s="1053"/>
      <c r="B692" s="1234"/>
      <c r="C692" s="1042"/>
      <c r="D692" s="151" t="s">
        <v>282</v>
      </c>
      <c r="E692" s="329">
        <f>0</f>
        <v>0</v>
      </c>
      <c r="F692" s="340">
        <v>0</v>
      </c>
      <c r="G692" s="1042"/>
      <c r="H692" s="1237"/>
      <c r="I692" s="1042"/>
      <c r="J692" s="1240"/>
      <c r="K692" s="1180"/>
      <c r="L692" s="993">
        <v>0</v>
      </c>
    </row>
    <row r="693" spans="1:12" hidden="1" x14ac:dyDescent="0.25">
      <c r="A693" s="780"/>
      <c r="B693" s="949"/>
      <c r="C693" s="941"/>
      <c r="D693" s="469"/>
      <c r="E693" s="80"/>
      <c r="F693" s="80"/>
      <c r="G693" s="941"/>
      <c r="H693" s="950"/>
      <c r="I693" s="941"/>
      <c r="J693" s="940"/>
      <c r="K693" s="941"/>
      <c r="L693" s="469"/>
    </row>
    <row r="694" spans="1:12" hidden="1" x14ac:dyDescent="0.25">
      <c r="B694" s="469"/>
      <c r="L694" s="973" t="s">
        <v>333</v>
      </c>
    </row>
    <row r="695" spans="1:12" ht="29.25" hidden="1" customHeight="1" x14ac:dyDescent="0.25">
      <c r="A695" s="1268" t="s">
        <v>409</v>
      </c>
      <c r="B695" s="1268"/>
      <c r="C695" s="1268"/>
      <c r="D695" s="1268"/>
      <c r="E695" s="1268"/>
      <c r="F695" s="1268"/>
      <c r="G695" s="1268"/>
      <c r="H695" s="1268"/>
      <c r="I695" s="1268"/>
      <c r="J695" s="1268"/>
      <c r="K695" s="1268"/>
      <c r="L695" s="1268"/>
    </row>
    <row r="696" spans="1:12" ht="15" hidden="1" customHeight="1" x14ac:dyDescent="0.25">
      <c r="A696" s="719"/>
      <c r="B696" s="751" t="s">
        <v>334</v>
      </c>
      <c r="C696" s="1269" t="s">
        <v>406</v>
      </c>
      <c r="D696" s="1269"/>
      <c r="E696" s="1269"/>
      <c r="F696" s="1269"/>
      <c r="G696" s="1269"/>
    </row>
    <row r="697" spans="1:12" ht="15" hidden="1" customHeight="1" x14ac:dyDescent="0.25">
      <c r="A697" s="719"/>
      <c r="B697" s="751" t="s">
        <v>175</v>
      </c>
      <c r="C697" s="1270" t="s">
        <v>180</v>
      </c>
      <c r="D697" s="1270"/>
      <c r="E697" s="1270"/>
      <c r="F697" s="1270"/>
      <c r="G697" s="1270"/>
    </row>
    <row r="698" spans="1:12" ht="15.75" hidden="1" thickBot="1" x14ac:dyDescent="0.3">
      <c r="A698" s="780"/>
      <c r="B698" s="949"/>
      <c r="C698" s="941"/>
      <c r="D698" s="469"/>
      <c r="E698" s="80"/>
      <c r="F698" s="80"/>
      <c r="G698" s="941"/>
      <c r="H698" s="950"/>
      <c r="I698" s="941"/>
      <c r="J698" s="940"/>
      <c r="K698" s="941"/>
      <c r="L698" s="469"/>
    </row>
    <row r="699" spans="1:12" ht="77.25" hidden="1" thickBot="1" x14ac:dyDescent="0.3">
      <c r="A699" s="720" t="s">
        <v>245</v>
      </c>
      <c r="B699" s="721" t="s">
        <v>336</v>
      </c>
      <c r="C699" s="722" t="s">
        <v>175</v>
      </c>
      <c r="D699" s="722" t="s">
        <v>337</v>
      </c>
      <c r="E699" s="320" t="s">
        <v>338</v>
      </c>
      <c r="F699" s="330" t="s">
        <v>339</v>
      </c>
      <c r="G699" s="520" t="s">
        <v>340</v>
      </c>
      <c r="H699" s="756" t="s">
        <v>341</v>
      </c>
      <c r="I699" s="181" t="s">
        <v>342</v>
      </c>
      <c r="J699" s="714" t="s">
        <v>343</v>
      </c>
      <c r="K699" s="723" t="s">
        <v>344</v>
      </c>
      <c r="L699" s="974" t="s">
        <v>345</v>
      </c>
    </row>
    <row r="700" spans="1:12" ht="15.75" hidden="1" thickBot="1" x14ac:dyDescent="0.3">
      <c r="A700" s="724">
        <v>1</v>
      </c>
      <c r="B700" s="721">
        <v>2</v>
      </c>
      <c r="C700" s="725">
        <v>3</v>
      </c>
      <c r="D700" s="722">
        <v>4</v>
      </c>
      <c r="E700" s="342">
        <v>5</v>
      </c>
      <c r="F700" s="343">
        <v>6</v>
      </c>
      <c r="G700" s="520">
        <v>7</v>
      </c>
      <c r="H700" s="756">
        <v>8</v>
      </c>
      <c r="I700" s="520">
        <v>9</v>
      </c>
      <c r="J700" s="715">
        <v>10</v>
      </c>
      <c r="K700" s="726">
        <v>11</v>
      </c>
      <c r="L700" s="974">
        <v>12</v>
      </c>
    </row>
    <row r="701" spans="1:12" ht="15.75" hidden="1" customHeight="1" x14ac:dyDescent="0.25">
      <c r="A701" s="1051"/>
      <c r="B701" s="1262" t="s">
        <v>3</v>
      </c>
      <c r="C701" s="1244" t="s">
        <v>180</v>
      </c>
      <c r="D701" s="347" t="s">
        <v>375</v>
      </c>
      <c r="E701" s="361">
        <f>E702</f>
        <v>36159845.240000002</v>
      </c>
      <c r="F701" s="361">
        <f>F702</f>
        <v>6613075.1900000004</v>
      </c>
      <c r="G701" s="1244"/>
      <c r="H701" s="1241"/>
      <c r="I701" s="1244"/>
      <c r="J701" s="1247"/>
      <c r="K701" s="1250"/>
      <c r="L701" s="981">
        <f>L702</f>
        <v>36159845.240000002</v>
      </c>
    </row>
    <row r="702" spans="1:12" hidden="1" x14ac:dyDescent="0.25">
      <c r="A702" s="1052"/>
      <c r="B702" s="1263"/>
      <c r="C702" s="1245"/>
      <c r="D702" s="737" t="s">
        <v>376</v>
      </c>
      <c r="E702" s="365">
        <f>E703+E704</f>
        <v>36159845.240000002</v>
      </c>
      <c r="F702" s="365">
        <f>F703+F704</f>
        <v>6613075.1900000004</v>
      </c>
      <c r="G702" s="1245"/>
      <c r="H702" s="1242"/>
      <c r="I702" s="1245"/>
      <c r="J702" s="1248"/>
      <c r="K702" s="1251"/>
      <c r="L702" s="988">
        <f>L703+L704</f>
        <v>36159845.240000002</v>
      </c>
    </row>
    <row r="703" spans="1:12" hidden="1" x14ac:dyDescent="0.25">
      <c r="A703" s="1052"/>
      <c r="B703" s="1263"/>
      <c r="C703" s="1245"/>
      <c r="D703" s="737" t="s">
        <v>283</v>
      </c>
      <c r="E703" s="365">
        <f>E707</f>
        <v>36159845.240000002</v>
      </c>
      <c r="F703" s="365">
        <f>F707</f>
        <v>6613075.1900000004</v>
      </c>
      <c r="G703" s="1245"/>
      <c r="H703" s="1242"/>
      <c r="I703" s="1245"/>
      <c r="J703" s="1248"/>
      <c r="K703" s="1251"/>
      <c r="L703" s="988">
        <f>L707</f>
        <v>36159845.240000002</v>
      </c>
    </row>
    <row r="704" spans="1:12" ht="15.75" hidden="1" thickBot="1" x14ac:dyDescent="0.3">
      <c r="A704" s="1053"/>
      <c r="B704" s="1264"/>
      <c r="C704" s="1246"/>
      <c r="D704" s="744" t="s">
        <v>282</v>
      </c>
      <c r="E704" s="366">
        <f>E708</f>
        <v>0</v>
      </c>
      <c r="F704" s="366">
        <f>F708</f>
        <v>0</v>
      </c>
      <c r="G704" s="1246"/>
      <c r="H704" s="1243"/>
      <c r="I704" s="1246"/>
      <c r="J704" s="1249"/>
      <c r="K704" s="1252"/>
      <c r="L704" s="997">
        <f>L708</f>
        <v>0</v>
      </c>
    </row>
    <row r="705" spans="1:12" ht="15.75" hidden="1" thickBot="1" x14ac:dyDescent="0.3">
      <c r="A705" s="1265"/>
      <c r="B705" s="1266"/>
      <c r="C705" s="1266"/>
      <c r="D705" s="1266"/>
      <c r="E705" s="1266"/>
      <c r="F705" s="1266"/>
      <c r="G705" s="1266"/>
      <c r="H705" s="1266"/>
      <c r="I705" s="1266"/>
      <c r="J705" s="1266"/>
      <c r="K705" s="1266"/>
      <c r="L705" s="1267"/>
    </row>
    <row r="706" spans="1:12" ht="17.25" hidden="1" customHeight="1" x14ac:dyDescent="0.25">
      <c r="A706" s="1051"/>
      <c r="B706" s="1301" t="s">
        <v>404</v>
      </c>
      <c r="C706" s="1077" t="s">
        <v>180</v>
      </c>
      <c r="D706" s="731" t="s">
        <v>376</v>
      </c>
      <c r="E706" s="362">
        <f>E707+E708</f>
        <v>36159845.240000002</v>
      </c>
      <c r="F706" s="362">
        <f>F707+F708</f>
        <v>6613075.1900000004</v>
      </c>
      <c r="G706" s="1077"/>
      <c r="H706" s="1277"/>
      <c r="I706" s="1077"/>
      <c r="J706" s="1280"/>
      <c r="K706" s="1259"/>
      <c r="L706" s="981">
        <f>L707+L708</f>
        <v>36159845.240000002</v>
      </c>
    </row>
    <row r="707" spans="1:12" hidden="1" x14ac:dyDescent="0.25">
      <c r="A707" s="1052"/>
      <c r="B707" s="1302"/>
      <c r="C707" s="1078"/>
      <c r="D707" s="732" t="s">
        <v>283</v>
      </c>
      <c r="E707" s="369">
        <f>E710</f>
        <v>36159845.240000002</v>
      </c>
      <c r="F707" s="369">
        <f>F710</f>
        <v>6613075.1900000004</v>
      </c>
      <c r="G707" s="1078"/>
      <c r="H707" s="1278"/>
      <c r="I707" s="1078"/>
      <c r="J707" s="1281"/>
      <c r="K707" s="1260"/>
      <c r="L707" s="988">
        <f>L710</f>
        <v>36159845.240000002</v>
      </c>
    </row>
    <row r="708" spans="1:12" s="315" customFormat="1" ht="15.75" hidden="1" thickBot="1" x14ac:dyDescent="0.3">
      <c r="A708" s="1052"/>
      <c r="B708" s="1303"/>
      <c r="C708" s="1079"/>
      <c r="D708" s="733" t="s">
        <v>282</v>
      </c>
      <c r="E708" s="370">
        <f>E711</f>
        <v>0</v>
      </c>
      <c r="F708" s="370">
        <f>F711</f>
        <v>0</v>
      </c>
      <c r="G708" s="1079"/>
      <c r="H708" s="1279"/>
      <c r="I708" s="1079"/>
      <c r="J708" s="1282"/>
      <c r="K708" s="1261"/>
      <c r="L708" s="997">
        <f>L711</f>
        <v>0</v>
      </c>
    </row>
    <row r="709" spans="1:12" s="315" customFormat="1" ht="15.75" hidden="1" customHeight="1" x14ac:dyDescent="0.25">
      <c r="A709" s="1052"/>
      <c r="B709" s="1262" t="s">
        <v>405</v>
      </c>
      <c r="C709" s="1045"/>
      <c r="D709" s="729" t="s">
        <v>376</v>
      </c>
      <c r="E709" s="371">
        <f>E710+E711</f>
        <v>36159845.240000002</v>
      </c>
      <c r="F709" s="371">
        <f>F710+F711</f>
        <v>6613075.1900000004</v>
      </c>
      <c r="G709" s="1045"/>
      <c r="H709" s="1277"/>
      <c r="I709" s="1045"/>
      <c r="J709" s="1325"/>
      <c r="K709" s="1328"/>
      <c r="L709" s="981">
        <f>L710+L711</f>
        <v>36159845.240000002</v>
      </c>
    </row>
    <row r="710" spans="1:12" s="315" customFormat="1" hidden="1" x14ac:dyDescent="0.25">
      <c r="A710" s="1052"/>
      <c r="B710" s="1263"/>
      <c r="C710" s="1046"/>
      <c r="D710" s="728" t="s">
        <v>283</v>
      </c>
      <c r="E710" s="962">
        <f>E713</f>
        <v>36159845.240000002</v>
      </c>
      <c r="F710" s="962">
        <f>F713</f>
        <v>6613075.1900000004</v>
      </c>
      <c r="G710" s="1046"/>
      <c r="H710" s="1278"/>
      <c r="I710" s="1046"/>
      <c r="J710" s="1326"/>
      <c r="K710" s="1329"/>
      <c r="L710" s="988">
        <f>L713</f>
        <v>36159845.240000002</v>
      </c>
    </row>
    <row r="711" spans="1:12" s="315" customFormat="1" ht="15.75" hidden="1" thickBot="1" x14ac:dyDescent="0.3">
      <c r="A711" s="1052"/>
      <c r="B711" s="1264"/>
      <c r="C711" s="1047"/>
      <c r="D711" s="151" t="s">
        <v>282</v>
      </c>
      <c r="E711" s="329">
        <f>E714</f>
        <v>0</v>
      </c>
      <c r="F711" s="329">
        <f>F714</f>
        <v>0</v>
      </c>
      <c r="G711" s="1047"/>
      <c r="H711" s="1279"/>
      <c r="I711" s="1047"/>
      <c r="J711" s="1327"/>
      <c r="K711" s="1330"/>
      <c r="L711" s="997">
        <f>L714</f>
        <v>0</v>
      </c>
    </row>
    <row r="712" spans="1:12" s="315" customFormat="1" ht="32.25" hidden="1" customHeight="1" x14ac:dyDescent="0.25">
      <c r="A712" s="1052"/>
      <c r="B712" s="1232" t="s">
        <v>289</v>
      </c>
      <c r="C712" s="1041" t="s">
        <v>180</v>
      </c>
      <c r="D712" s="729" t="s">
        <v>376</v>
      </c>
      <c r="E712" s="349">
        <f>E713+E714</f>
        <v>36159845.240000002</v>
      </c>
      <c r="F712" s="341">
        <f>F713+F714</f>
        <v>6613075.1900000004</v>
      </c>
      <c r="G712" s="1041"/>
      <c r="H712" s="1286" t="s">
        <v>548</v>
      </c>
      <c r="I712" s="1041" t="s">
        <v>357</v>
      </c>
      <c r="J712" s="1331">
        <v>56</v>
      </c>
      <c r="K712" s="1332">
        <v>51</v>
      </c>
      <c r="L712" s="1004">
        <f>L713+L714</f>
        <v>36159845.240000002</v>
      </c>
    </row>
    <row r="713" spans="1:12" s="315" customFormat="1" ht="32.25" hidden="1" customHeight="1" x14ac:dyDescent="0.25">
      <c r="A713" s="1052"/>
      <c r="B713" s="1233"/>
      <c r="C713" s="1111"/>
      <c r="D713" s="728" t="s">
        <v>283</v>
      </c>
      <c r="E713" s="962">
        <v>36159845.240000002</v>
      </c>
      <c r="F713" s="465">
        <v>6613075.1900000004</v>
      </c>
      <c r="G713" s="1111"/>
      <c r="H713" s="1287"/>
      <c r="I713" s="1111"/>
      <c r="J713" s="1304"/>
      <c r="K713" s="1306"/>
      <c r="L713" s="964">
        <v>36159845.240000002</v>
      </c>
    </row>
    <row r="714" spans="1:12" s="315" customFormat="1" ht="32.25" hidden="1" customHeight="1" thickBot="1" x14ac:dyDescent="0.3">
      <c r="A714" s="1053"/>
      <c r="B714" s="1234"/>
      <c r="C714" s="1042"/>
      <c r="D714" s="151" t="s">
        <v>282</v>
      </c>
      <c r="E714" s="329">
        <f>0</f>
        <v>0</v>
      </c>
      <c r="F714" s="340">
        <v>0</v>
      </c>
      <c r="G714" s="1042"/>
      <c r="H714" s="1288"/>
      <c r="I714" s="1042"/>
      <c r="J714" s="1305"/>
      <c r="K714" s="1307"/>
      <c r="L714" s="993">
        <v>0</v>
      </c>
    </row>
    <row r="715" spans="1:12" s="315" customFormat="1" ht="15.75" hidden="1" customHeight="1" x14ac:dyDescent="0.25">
      <c r="A715" s="1051"/>
      <c r="B715" s="1301" t="s">
        <v>521</v>
      </c>
      <c r="C715" s="1077" t="s">
        <v>180</v>
      </c>
      <c r="D715" s="731" t="s">
        <v>376</v>
      </c>
      <c r="E715" s="362">
        <f>E716+E717</f>
        <v>0</v>
      </c>
      <c r="F715" s="362">
        <f>F716+F717</f>
        <v>0</v>
      </c>
      <c r="G715" s="1077"/>
      <c r="H715" s="1277"/>
      <c r="I715" s="1077"/>
      <c r="J715" s="1280"/>
      <c r="K715" s="1259"/>
      <c r="L715" s="981">
        <f>L716+L717</f>
        <v>0</v>
      </c>
    </row>
    <row r="716" spans="1:12" s="315" customFormat="1" ht="15.75" hidden="1" customHeight="1" x14ac:dyDescent="0.25">
      <c r="A716" s="1052"/>
      <c r="B716" s="1302"/>
      <c r="C716" s="1078"/>
      <c r="D716" s="732" t="s">
        <v>283</v>
      </c>
      <c r="E716" s="369">
        <f>E719</f>
        <v>0</v>
      </c>
      <c r="F716" s="369">
        <f>F719</f>
        <v>0</v>
      </c>
      <c r="G716" s="1078"/>
      <c r="H716" s="1278"/>
      <c r="I716" s="1078"/>
      <c r="J716" s="1281"/>
      <c r="K716" s="1260"/>
      <c r="L716" s="988">
        <f>L719</f>
        <v>0</v>
      </c>
    </row>
    <row r="717" spans="1:12" s="315" customFormat="1" ht="15.75" hidden="1" customHeight="1" thickBot="1" x14ac:dyDescent="0.3">
      <c r="A717" s="1052"/>
      <c r="B717" s="1303"/>
      <c r="C717" s="1079"/>
      <c r="D717" s="733" t="s">
        <v>282</v>
      </c>
      <c r="E717" s="370">
        <f>E720</f>
        <v>0</v>
      </c>
      <c r="F717" s="370">
        <f>F720</f>
        <v>0</v>
      </c>
      <c r="G717" s="1079"/>
      <c r="H717" s="1279"/>
      <c r="I717" s="1079"/>
      <c r="J717" s="1282"/>
      <c r="K717" s="1261"/>
      <c r="L717" s="997">
        <f>L720</f>
        <v>0</v>
      </c>
    </row>
    <row r="718" spans="1:12" s="315" customFormat="1" ht="17.25" hidden="1" customHeight="1" x14ac:dyDescent="0.25">
      <c r="A718" s="1052"/>
      <c r="B718" s="1262" t="s">
        <v>522</v>
      </c>
      <c r="C718" s="1045"/>
      <c r="D718" s="729" t="s">
        <v>376</v>
      </c>
      <c r="E718" s="371">
        <f>E719+E720</f>
        <v>0</v>
      </c>
      <c r="F718" s="371">
        <f>F719+F720</f>
        <v>0</v>
      </c>
      <c r="G718" s="1045"/>
      <c r="H718" s="1277"/>
      <c r="I718" s="1045"/>
      <c r="J718" s="1325"/>
      <c r="K718" s="1328"/>
      <c r="L718" s="981">
        <f>L719+L720</f>
        <v>0</v>
      </c>
    </row>
    <row r="719" spans="1:12" s="315" customFormat="1" ht="17.25" hidden="1" customHeight="1" x14ac:dyDescent="0.25">
      <c r="A719" s="1052"/>
      <c r="B719" s="1263"/>
      <c r="C719" s="1046"/>
      <c r="D719" s="728" t="s">
        <v>283</v>
      </c>
      <c r="E719" s="962">
        <f>E722</f>
        <v>0</v>
      </c>
      <c r="F719" s="962">
        <f>F722</f>
        <v>0</v>
      </c>
      <c r="G719" s="1046"/>
      <c r="H719" s="1278"/>
      <c r="I719" s="1046"/>
      <c r="J719" s="1326"/>
      <c r="K719" s="1329"/>
      <c r="L719" s="988">
        <f>L722</f>
        <v>0</v>
      </c>
    </row>
    <row r="720" spans="1:12" s="315" customFormat="1" ht="17.25" hidden="1" customHeight="1" thickBot="1" x14ac:dyDescent="0.3">
      <c r="A720" s="1052"/>
      <c r="B720" s="1264"/>
      <c r="C720" s="1047"/>
      <c r="D720" s="151" t="s">
        <v>282</v>
      </c>
      <c r="E720" s="329">
        <f>E723</f>
        <v>0</v>
      </c>
      <c r="F720" s="329">
        <f>F723</f>
        <v>0</v>
      </c>
      <c r="G720" s="1047"/>
      <c r="H720" s="1279"/>
      <c r="I720" s="1047"/>
      <c r="J720" s="1327"/>
      <c r="K720" s="1330"/>
      <c r="L720" s="997">
        <f>L723</f>
        <v>0</v>
      </c>
    </row>
    <row r="721" spans="1:12" s="315" customFormat="1" ht="23.25" hidden="1" customHeight="1" x14ac:dyDescent="0.25">
      <c r="A721" s="1052"/>
      <c r="B721" s="1232" t="s">
        <v>523</v>
      </c>
      <c r="C721" s="1041" t="s">
        <v>180</v>
      </c>
      <c r="D721" s="729" t="s">
        <v>376</v>
      </c>
      <c r="E721" s="349">
        <f>E722+E723</f>
        <v>0</v>
      </c>
      <c r="F721" s="341">
        <f>F722+F723</f>
        <v>0</v>
      </c>
      <c r="G721" s="1041"/>
      <c r="H721" s="1286" t="s">
        <v>524</v>
      </c>
      <c r="I721" s="1041" t="s">
        <v>525</v>
      </c>
      <c r="J721" s="1331">
        <v>1</v>
      </c>
      <c r="K721" s="1332">
        <v>1</v>
      </c>
      <c r="L721" s="1004">
        <f>L722+L723</f>
        <v>0</v>
      </c>
    </row>
    <row r="722" spans="1:12" s="315" customFormat="1" ht="23.25" hidden="1" customHeight="1" x14ac:dyDescent="0.25">
      <c r="A722" s="1052"/>
      <c r="B722" s="1233"/>
      <c r="C722" s="1111"/>
      <c r="D722" s="728" t="s">
        <v>283</v>
      </c>
      <c r="E722" s="962">
        <f>'таблица (всего)'!G189</f>
        <v>0</v>
      </c>
      <c r="F722" s="465">
        <v>0</v>
      </c>
      <c r="G722" s="1111"/>
      <c r="H722" s="1287"/>
      <c r="I722" s="1111"/>
      <c r="J722" s="1304"/>
      <c r="K722" s="1306"/>
      <c r="L722" s="964">
        <v>0</v>
      </c>
    </row>
    <row r="723" spans="1:12" s="315" customFormat="1" ht="23.25" hidden="1" customHeight="1" thickBot="1" x14ac:dyDescent="0.3">
      <c r="A723" s="1053"/>
      <c r="B723" s="1234"/>
      <c r="C723" s="1042"/>
      <c r="D723" s="151" t="s">
        <v>282</v>
      </c>
      <c r="E723" s="329">
        <f>0</f>
        <v>0</v>
      </c>
      <c r="F723" s="340">
        <v>0</v>
      </c>
      <c r="G723" s="1042"/>
      <c r="H723" s="1288"/>
      <c r="I723" s="1042"/>
      <c r="J723" s="1305"/>
      <c r="K723" s="1307"/>
      <c r="L723" s="993">
        <v>0</v>
      </c>
    </row>
    <row r="724" spans="1:12" s="315" customFormat="1" hidden="1" x14ac:dyDescent="0.25">
      <c r="A724" s="4"/>
      <c r="B724" s="469"/>
      <c r="C724" s="467"/>
      <c r="D724" s="467"/>
      <c r="E724" s="318"/>
      <c r="F724" s="318"/>
      <c r="G724" s="718"/>
      <c r="H724" s="755"/>
      <c r="I724" s="718"/>
      <c r="J724" s="712"/>
      <c r="K724" s="467"/>
      <c r="L724" s="973" t="s">
        <v>333</v>
      </c>
    </row>
    <row r="725" spans="1:12" s="315" customFormat="1" hidden="1" x14ac:dyDescent="0.25">
      <c r="A725" s="1268" t="s">
        <v>409</v>
      </c>
      <c r="B725" s="1268"/>
      <c r="C725" s="1268"/>
      <c r="D725" s="1268"/>
      <c r="E725" s="1268"/>
      <c r="F725" s="1268"/>
      <c r="G725" s="1268"/>
      <c r="H725" s="1268"/>
      <c r="I725" s="1268"/>
      <c r="J725" s="1268"/>
      <c r="K725" s="1268"/>
      <c r="L725" s="1268"/>
    </row>
    <row r="726" spans="1:12" s="315" customFormat="1" hidden="1" x14ac:dyDescent="0.25">
      <c r="A726" s="719"/>
      <c r="B726" s="751" t="s">
        <v>334</v>
      </c>
      <c r="C726" s="1269" t="s">
        <v>549</v>
      </c>
      <c r="D726" s="1269"/>
      <c r="E726" s="1269"/>
      <c r="F726" s="1269"/>
      <c r="G726" s="780"/>
      <c r="H726" s="755"/>
      <c r="I726" s="718"/>
      <c r="J726" s="712"/>
      <c r="K726" s="467"/>
      <c r="L726" s="765"/>
    </row>
    <row r="727" spans="1:12" s="315" customFormat="1" hidden="1" x14ac:dyDescent="0.25">
      <c r="A727" s="719"/>
      <c r="B727" s="751" t="s">
        <v>175</v>
      </c>
      <c r="C727" s="1270" t="s">
        <v>180</v>
      </c>
      <c r="D727" s="1270"/>
      <c r="E727" s="1270"/>
      <c r="F727" s="1270"/>
      <c r="G727" s="948"/>
      <c r="H727" s="755"/>
      <c r="I727" s="718"/>
      <c r="J727" s="712"/>
      <c r="K727" s="467"/>
      <c r="L727" s="765"/>
    </row>
    <row r="728" spans="1:12" s="315" customFormat="1" ht="15.75" hidden="1" thickBot="1" x14ac:dyDescent="0.3">
      <c r="A728" s="719"/>
      <c r="B728" s="751"/>
      <c r="C728" s="752"/>
      <c r="D728" s="752"/>
      <c r="E728" s="328"/>
      <c r="F728" s="319"/>
      <c r="G728" s="948"/>
      <c r="H728" s="755"/>
      <c r="I728" s="718"/>
      <c r="J728" s="712"/>
      <c r="K728" s="467"/>
      <c r="L728" s="765"/>
    </row>
    <row r="729" spans="1:12" s="315" customFormat="1" ht="77.25" hidden="1" thickBot="1" x14ac:dyDescent="0.3">
      <c r="A729" s="720" t="s">
        <v>245</v>
      </c>
      <c r="B729" s="721" t="s">
        <v>336</v>
      </c>
      <c r="C729" s="722" t="s">
        <v>175</v>
      </c>
      <c r="D729" s="722" t="s">
        <v>337</v>
      </c>
      <c r="E729" s="320" t="s">
        <v>338</v>
      </c>
      <c r="F729" s="330" t="s">
        <v>339</v>
      </c>
      <c r="G729" s="520" t="s">
        <v>340</v>
      </c>
      <c r="H729" s="756" t="s">
        <v>341</v>
      </c>
      <c r="I729" s="181" t="s">
        <v>342</v>
      </c>
      <c r="J729" s="714" t="s">
        <v>343</v>
      </c>
      <c r="K729" s="723" t="s">
        <v>344</v>
      </c>
      <c r="L729" s="974" t="s">
        <v>345</v>
      </c>
    </row>
    <row r="730" spans="1:12" s="315" customFormat="1" ht="15.75" hidden="1" thickBot="1" x14ac:dyDescent="0.3">
      <c r="A730" s="724">
        <v>1</v>
      </c>
      <c r="B730" s="721">
        <v>2</v>
      </c>
      <c r="C730" s="725">
        <v>3</v>
      </c>
      <c r="D730" s="722">
        <v>4</v>
      </c>
      <c r="E730" s="342">
        <v>5</v>
      </c>
      <c r="F730" s="343">
        <v>6</v>
      </c>
      <c r="G730" s="520">
        <v>7</v>
      </c>
      <c r="H730" s="756">
        <v>8</v>
      </c>
      <c r="I730" s="520">
        <v>9</v>
      </c>
      <c r="J730" s="715">
        <v>10</v>
      </c>
      <c r="K730" s="726">
        <v>11</v>
      </c>
      <c r="L730" s="974">
        <v>12</v>
      </c>
    </row>
    <row r="731" spans="1:12" s="315" customFormat="1" hidden="1" x14ac:dyDescent="0.25">
      <c r="A731" s="1051"/>
      <c r="B731" s="1262" t="s">
        <v>8</v>
      </c>
      <c r="C731" s="1244" t="s">
        <v>180</v>
      </c>
      <c r="D731" s="347" t="s">
        <v>375</v>
      </c>
      <c r="E731" s="361">
        <f>E732</f>
        <v>0</v>
      </c>
      <c r="F731" s="361">
        <f>F732</f>
        <v>0</v>
      </c>
      <c r="G731" s="1244"/>
      <c r="H731" s="1241"/>
      <c r="I731" s="1244"/>
      <c r="J731" s="1247"/>
      <c r="K731" s="1250"/>
      <c r="L731" s="981">
        <f>L732</f>
        <v>0</v>
      </c>
    </row>
    <row r="732" spans="1:12" s="315" customFormat="1" hidden="1" x14ac:dyDescent="0.25">
      <c r="A732" s="1052"/>
      <c r="B732" s="1263"/>
      <c r="C732" s="1245"/>
      <c r="D732" s="737" t="s">
        <v>376</v>
      </c>
      <c r="E732" s="365">
        <f>E733+E734</f>
        <v>0</v>
      </c>
      <c r="F732" s="365">
        <f>F733+F734</f>
        <v>0</v>
      </c>
      <c r="G732" s="1245"/>
      <c r="H732" s="1242"/>
      <c r="I732" s="1245"/>
      <c r="J732" s="1248"/>
      <c r="K732" s="1251"/>
      <c r="L732" s="988">
        <f>L733+L734</f>
        <v>0</v>
      </c>
    </row>
    <row r="733" spans="1:12" s="315" customFormat="1" hidden="1" x14ac:dyDescent="0.25">
      <c r="A733" s="1052"/>
      <c r="B733" s="1263"/>
      <c r="C733" s="1245"/>
      <c r="D733" s="49" t="s">
        <v>283</v>
      </c>
      <c r="E733" s="365">
        <f>E737</f>
        <v>0</v>
      </c>
      <c r="F733" s="365">
        <f>F737</f>
        <v>0</v>
      </c>
      <c r="G733" s="1245"/>
      <c r="H733" s="1242"/>
      <c r="I733" s="1245"/>
      <c r="J733" s="1248"/>
      <c r="K733" s="1251"/>
      <c r="L733" s="988">
        <f>L737</f>
        <v>0</v>
      </c>
    </row>
    <row r="734" spans="1:12" s="315" customFormat="1" ht="15.75" hidden="1" thickBot="1" x14ac:dyDescent="0.3">
      <c r="A734" s="1053"/>
      <c r="B734" s="1264"/>
      <c r="C734" s="1246"/>
      <c r="D734" s="142" t="s">
        <v>282</v>
      </c>
      <c r="E734" s="366">
        <f>E738</f>
        <v>0</v>
      </c>
      <c r="F734" s="366">
        <f>F738</f>
        <v>0</v>
      </c>
      <c r="G734" s="1246"/>
      <c r="H734" s="1243"/>
      <c r="I734" s="1246"/>
      <c r="J734" s="1249"/>
      <c r="K734" s="1252"/>
      <c r="L734" s="997">
        <f>L738</f>
        <v>0</v>
      </c>
    </row>
    <row r="735" spans="1:12" s="315" customFormat="1" ht="15.75" hidden="1" thickBot="1" x14ac:dyDescent="0.3">
      <c r="A735" s="1265"/>
      <c r="B735" s="1266"/>
      <c r="C735" s="1266"/>
      <c r="D735" s="1266"/>
      <c r="E735" s="1266"/>
      <c r="F735" s="1266"/>
      <c r="G735" s="1266"/>
      <c r="H735" s="1266"/>
      <c r="I735" s="1266"/>
      <c r="J735" s="1266"/>
      <c r="K735" s="1266"/>
      <c r="L735" s="1267"/>
    </row>
    <row r="736" spans="1:12" s="315" customFormat="1" hidden="1" x14ac:dyDescent="0.25">
      <c r="A736" s="1051"/>
      <c r="B736" s="1271" t="s">
        <v>551</v>
      </c>
      <c r="C736" s="1274" t="s">
        <v>180</v>
      </c>
      <c r="D736" s="731" t="s">
        <v>376</v>
      </c>
      <c r="E736" s="362">
        <f>E737+E738</f>
        <v>0</v>
      </c>
      <c r="F736" s="362">
        <f>F737+F738</f>
        <v>0</v>
      </c>
      <c r="G736" s="1077"/>
      <c r="H736" s="1277"/>
      <c r="I736" s="1077"/>
      <c r="J736" s="1280"/>
      <c r="K736" s="1259"/>
      <c r="L736" s="981">
        <f>L737+L738</f>
        <v>0</v>
      </c>
    </row>
    <row r="737" spans="1:12" s="315" customFormat="1" hidden="1" x14ac:dyDescent="0.25">
      <c r="A737" s="1052"/>
      <c r="B737" s="1272"/>
      <c r="C737" s="1275"/>
      <c r="D737" s="732" t="s">
        <v>283</v>
      </c>
      <c r="E737" s="369">
        <f>E740</f>
        <v>0</v>
      </c>
      <c r="F737" s="369">
        <f>F740</f>
        <v>0</v>
      </c>
      <c r="G737" s="1078"/>
      <c r="H737" s="1278"/>
      <c r="I737" s="1078"/>
      <c r="J737" s="1281"/>
      <c r="K737" s="1260"/>
      <c r="L737" s="988">
        <f>L740</f>
        <v>0</v>
      </c>
    </row>
    <row r="738" spans="1:12" s="315" customFormat="1" ht="15.75" hidden="1" thickBot="1" x14ac:dyDescent="0.3">
      <c r="A738" s="1052"/>
      <c r="B738" s="1273"/>
      <c r="C738" s="1276"/>
      <c r="D738" s="733" t="s">
        <v>282</v>
      </c>
      <c r="E738" s="370">
        <f>E741</f>
        <v>0</v>
      </c>
      <c r="F738" s="370">
        <f>F741</f>
        <v>0</v>
      </c>
      <c r="G738" s="1079"/>
      <c r="H738" s="1279"/>
      <c r="I738" s="1079"/>
      <c r="J738" s="1282"/>
      <c r="K738" s="1261"/>
      <c r="L738" s="997">
        <f>L741</f>
        <v>0</v>
      </c>
    </row>
    <row r="739" spans="1:12" s="315" customFormat="1" hidden="1" x14ac:dyDescent="0.25">
      <c r="A739" s="1052"/>
      <c r="B739" s="1132" t="s">
        <v>552</v>
      </c>
      <c r="C739" s="1041"/>
      <c r="D739" s="729" t="s">
        <v>376</v>
      </c>
      <c r="E739" s="371">
        <f>E740+E741</f>
        <v>0</v>
      </c>
      <c r="F739" s="371">
        <f>F740+F741</f>
        <v>0</v>
      </c>
      <c r="G739" s="1041"/>
      <c r="H739" s="1235"/>
      <c r="I739" s="1041"/>
      <c r="J739" s="1238"/>
      <c r="K739" s="1178"/>
      <c r="L739" s="895">
        <f>L740+L741</f>
        <v>0</v>
      </c>
    </row>
    <row r="740" spans="1:12" s="315" customFormat="1" hidden="1" x14ac:dyDescent="0.25">
      <c r="A740" s="1052"/>
      <c r="B740" s="1133"/>
      <c r="C740" s="1111"/>
      <c r="D740" s="728" t="s">
        <v>283</v>
      </c>
      <c r="E740" s="962">
        <f>E743</f>
        <v>0</v>
      </c>
      <c r="F740" s="962">
        <f>F743</f>
        <v>0</v>
      </c>
      <c r="G740" s="1111"/>
      <c r="H740" s="1236"/>
      <c r="I740" s="1111"/>
      <c r="J740" s="1239"/>
      <c r="K740" s="1179"/>
      <c r="L740" s="463">
        <f>L743</f>
        <v>0</v>
      </c>
    </row>
    <row r="741" spans="1:12" s="315" customFormat="1" ht="15.75" hidden="1" thickBot="1" x14ac:dyDescent="0.3">
      <c r="A741" s="1052"/>
      <c r="B741" s="1134"/>
      <c r="C741" s="1042"/>
      <c r="D741" s="151" t="s">
        <v>282</v>
      </c>
      <c r="E741" s="329">
        <f>E744</f>
        <v>0</v>
      </c>
      <c r="F741" s="329">
        <f>F744</f>
        <v>0</v>
      </c>
      <c r="G741" s="1042"/>
      <c r="H741" s="1237"/>
      <c r="I741" s="1042"/>
      <c r="J741" s="1240"/>
      <c r="K741" s="1180"/>
      <c r="L741" s="993">
        <f>L744</f>
        <v>0</v>
      </c>
    </row>
    <row r="742" spans="1:12" s="315" customFormat="1" hidden="1" x14ac:dyDescent="0.25">
      <c r="A742" s="1052"/>
      <c r="B742" s="1232" t="s">
        <v>550</v>
      </c>
      <c r="C742" s="1041" t="s">
        <v>180</v>
      </c>
      <c r="D742" s="729" t="s">
        <v>376</v>
      </c>
      <c r="E742" s="349">
        <f>E743+E744</f>
        <v>0</v>
      </c>
      <c r="F742" s="341">
        <f>F743+F744</f>
        <v>0</v>
      </c>
      <c r="G742" s="1041" t="s">
        <v>426</v>
      </c>
      <c r="H742" s="1235" t="s">
        <v>553</v>
      </c>
      <c r="I742" s="1041" t="s">
        <v>359</v>
      </c>
      <c r="J742" s="1238">
        <v>9.1999999999999993</v>
      </c>
      <c r="K742" s="1178" t="s">
        <v>554</v>
      </c>
      <c r="L742" s="981">
        <f>L743+L744</f>
        <v>0</v>
      </c>
    </row>
    <row r="743" spans="1:12" s="315" customFormat="1" hidden="1" x14ac:dyDescent="0.25">
      <c r="A743" s="1052"/>
      <c r="B743" s="1233"/>
      <c r="C743" s="1111"/>
      <c r="D743" s="728" t="s">
        <v>283</v>
      </c>
      <c r="E743" s="962">
        <v>0</v>
      </c>
      <c r="F743" s="465">
        <v>0</v>
      </c>
      <c r="G743" s="1111"/>
      <c r="H743" s="1236"/>
      <c r="I743" s="1111"/>
      <c r="J743" s="1239"/>
      <c r="K743" s="1179"/>
      <c r="L743" s="463">
        <v>0</v>
      </c>
    </row>
    <row r="744" spans="1:12" s="315" customFormat="1" ht="15.75" hidden="1" thickBot="1" x14ac:dyDescent="0.3">
      <c r="A744" s="1053"/>
      <c r="B744" s="1234"/>
      <c r="C744" s="1042"/>
      <c r="D744" s="151" t="s">
        <v>282</v>
      </c>
      <c r="E744" s="329">
        <f>0</f>
        <v>0</v>
      </c>
      <c r="F744" s="340">
        <v>0</v>
      </c>
      <c r="G744" s="1042"/>
      <c r="H744" s="1237"/>
      <c r="I744" s="1042"/>
      <c r="J744" s="1240"/>
      <c r="K744" s="1180"/>
      <c r="L744" s="993">
        <v>0</v>
      </c>
    </row>
    <row r="745" spans="1:12" s="315" customFormat="1" hidden="1" x14ac:dyDescent="0.25">
      <c r="A745" s="780"/>
      <c r="B745" s="949" t="s">
        <v>555</v>
      </c>
      <c r="C745" s="941"/>
      <c r="D745" s="469"/>
      <c r="E745" s="80"/>
      <c r="F745" s="80"/>
      <c r="G745" s="941"/>
      <c r="H745" s="950"/>
      <c r="I745" s="941"/>
      <c r="J745" s="940"/>
      <c r="K745" s="941"/>
      <c r="L745" s="80"/>
    </row>
    <row r="746" spans="1:12" s="315" customFormat="1" hidden="1" x14ac:dyDescent="0.25">
      <c r="A746" s="752"/>
      <c r="B746" s="469"/>
      <c r="C746" s="468"/>
      <c r="D746" s="468"/>
      <c r="E746" s="323">
        <f>E9+E587+E649+E680+E702</f>
        <v>6690750678.2599993</v>
      </c>
      <c r="F746" s="323">
        <f>F9+F587+F649+F680+F702</f>
        <v>4373166269.9699993</v>
      </c>
      <c r="G746" s="713"/>
      <c r="H746" s="760"/>
      <c r="I746" s="780"/>
      <c r="J746" s="713"/>
      <c r="K746" s="323"/>
      <c r="L746" s="80">
        <f>L9+L587+L649+L680+L702</f>
        <v>6670632627.9399996</v>
      </c>
    </row>
    <row r="747" spans="1:12" s="315" customFormat="1" hidden="1" x14ac:dyDescent="0.25">
      <c r="A747" s="752"/>
      <c r="B747" s="469"/>
      <c r="C747" s="468"/>
      <c r="D747" s="468"/>
      <c r="E747" s="323">
        <f>10030000+4130000</f>
        <v>14160000</v>
      </c>
      <c r="F747" s="323">
        <f>2450000</f>
        <v>2450000</v>
      </c>
      <c r="G747" s="780"/>
      <c r="H747" s="760"/>
      <c r="I747" s="780"/>
      <c r="J747" s="713"/>
      <c r="K747" s="468"/>
      <c r="L747" s="80">
        <f>10030000+4130000</f>
        <v>14160000</v>
      </c>
    </row>
    <row r="748" spans="1:12" s="315" customFormat="1" hidden="1" x14ac:dyDescent="0.25">
      <c r="A748" s="752"/>
      <c r="B748" s="469"/>
      <c r="C748" s="468"/>
      <c r="D748" s="468"/>
      <c r="E748" s="323">
        <v>64282061</v>
      </c>
      <c r="F748" s="323">
        <v>470203.7</v>
      </c>
      <c r="G748" s="780"/>
      <c r="H748" s="760"/>
      <c r="I748" s="780"/>
      <c r="J748" s="713"/>
      <c r="K748" s="468"/>
      <c r="L748" s="80">
        <v>64282061</v>
      </c>
    </row>
    <row r="749" spans="1:12" s="315" customFormat="1" hidden="1" x14ac:dyDescent="0.25">
      <c r="A749" s="752"/>
      <c r="B749" s="745" t="s">
        <v>411</v>
      </c>
      <c r="C749" s="746"/>
      <c r="D749" s="746"/>
      <c r="E749" s="357">
        <f>E746+E747+E748</f>
        <v>6769192739.2599993</v>
      </c>
      <c r="F749" s="357">
        <f>F746+F747+F748</f>
        <v>4376086473.6699991</v>
      </c>
      <c r="G749" s="948"/>
      <c r="H749" s="761"/>
      <c r="I749" s="948"/>
      <c r="J749" s="319"/>
      <c r="K749" s="746"/>
      <c r="L749" s="856">
        <f>L746+L747+L748</f>
        <v>6749074688.9399996</v>
      </c>
    </row>
    <row r="750" spans="1:12" s="315" customFormat="1" hidden="1" x14ac:dyDescent="0.25">
      <c r="A750" s="752"/>
      <c r="B750" s="469"/>
      <c r="C750" s="468"/>
      <c r="D750" s="468"/>
      <c r="E750" s="323">
        <f>6223860879.08-E749</f>
        <v>-545331860.17999935</v>
      </c>
      <c r="F750" s="323">
        <f>1215204962.6-F749</f>
        <v>-3160881511.0699992</v>
      </c>
      <c r="G750" s="780"/>
      <c r="H750" s="760"/>
      <c r="I750" s="780"/>
      <c r="J750" s="713"/>
      <c r="K750" s="468"/>
      <c r="L750" s="80">
        <f>6223860879.08-L749</f>
        <v>-525213809.85999966</v>
      </c>
    </row>
    <row r="751" spans="1:12" s="315" customFormat="1" ht="23.25" customHeight="1" x14ac:dyDescent="0.25">
      <c r="A751" s="1452"/>
      <c r="B751" s="1133" t="s">
        <v>880</v>
      </c>
      <c r="C751" s="1041" t="s">
        <v>180</v>
      </c>
      <c r="D751" s="1442" t="s">
        <v>225</v>
      </c>
      <c r="E751" s="1443">
        <f>E752+E753</f>
        <v>0</v>
      </c>
      <c r="F751" s="1443">
        <f>F752+F753</f>
        <v>0</v>
      </c>
      <c r="G751" s="1052" t="s">
        <v>426</v>
      </c>
      <c r="H751" s="1439"/>
      <c r="I751" s="1052"/>
      <c r="J751" s="1447"/>
      <c r="K751" s="1052"/>
      <c r="L751" s="1122"/>
    </row>
    <row r="752" spans="1:12" s="315" customFormat="1" ht="24" customHeight="1" x14ac:dyDescent="0.25">
      <c r="A752" s="1452"/>
      <c r="B752" s="1133"/>
      <c r="C752" s="1111"/>
      <c r="D752" s="49" t="s">
        <v>283</v>
      </c>
      <c r="E752" s="323">
        <v>0</v>
      </c>
      <c r="F752" s="145">
        <f>F755</f>
        <v>0</v>
      </c>
      <c r="G752" s="1052"/>
      <c r="H752" s="1439"/>
      <c r="I752" s="1052"/>
      <c r="J752" s="1447"/>
      <c r="K752" s="1052"/>
      <c r="L752" s="1122"/>
    </row>
    <row r="753" spans="1:13" s="315" customFormat="1" ht="24" customHeight="1" thickBot="1" x14ac:dyDescent="0.3">
      <c r="A753" s="1452"/>
      <c r="B753" s="1134"/>
      <c r="C753" s="1042"/>
      <c r="D753" s="141" t="s">
        <v>282</v>
      </c>
      <c r="E753" s="1444">
        <f>E756+E759</f>
        <v>0</v>
      </c>
      <c r="F753" s="1438">
        <f>F756</f>
        <v>0</v>
      </c>
      <c r="G753" s="1053"/>
      <c r="H753" s="1441"/>
      <c r="I753" s="1053"/>
      <c r="J753" s="1448"/>
      <c r="K753" s="1053"/>
      <c r="L753" s="1123"/>
    </row>
    <row r="754" spans="1:13" s="315" customFormat="1" ht="115.5" customHeight="1" x14ac:dyDescent="0.25">
      <c r="A754" s="1452"/>
      <c r="B754" s="1127" t="s">
        <v>881</v>
      </c>
      <c r="C754" s="1041" t="s">
        <v>180</v>
      </c>
      <c r="D754" s="58" t="s">
        <v>225</v>
      </c>
      <c r="E754" s="1445">
        <f>E755+E756</f>
        <v>0</v>
      </c>
      <c r="F754" s="1437">
        <f>F755+F756</f>
        <v>0</v>
      </c>
      <c r="G754" s="1051"/>
      <c r="H754" s="757" t="s">
        <v>882</v>
      </c>
      <c r="I754" s="775" t="s">
        <v>884</v>
      </c>
      <c r="J754" s="1450">
        <v>67.2</v>
      </c>
      <c r="K754" s="757">
        <v>67</v>
      </c>
      <c r="L754" s="895"/>
    </row>
    <row r="755" spans="1:13" s="315" customFormat="1" x14ac:dyDescent="0.25">
      <c r="A755" s="752"/>
      <c r="B755" s="1128"/>
      <c r="C755" s="1111"/>
      <c r="D755" s="57" t="s">
        <v>283</v>
      </c>
      <c r="E755" s="1437">
        <v>0</v>
      </c>
      <c r="F755" s="1446">
        <f>F758</f>
        <v>0</v>
      </c>
      <c r="G755" s="1052"/>
      <c r="H755" s="1449" t="s">
        <v>883</v>
      </c>
      <c r="I755" s="1451" t="s">
        <v>885</v>
      </c>
      <c r="J755" s="1453">
        <v>5700</v>
      </c>
      <c r="K755" s="760">
        <v>1733</v>
      </c>
      <c r="L755" s="838"/>
      <c r="M755" s="773"/>
    </row>
    <row r="756" spans="1:13" s="315" customFormat="1" ht="103.5" customHeight="1" thickBot="1" x14ac:dyDescent="0.3">
      <c r="A756" s="752"/>
      <c r="B756" s="1113"/>
      <c r="C756" s="1042"/>
      <c r="D756" s="142" t="s">
        <v>282</v>
      </c>
      <c r="E756" s="1444">
        <f>E759+E762</f>
        <v>0</v>
      </c>
      <c r="F756" s="1444">
        <f>F759</f>
        <v>0</v>
      </c>
      <c r="G756" s="1053"/>
      <c r="H756" s="1288"/>
      <c r="I756" s="1053"/>
      <c r="J756" s="1440"/>
      <c r="L756" s="880"/>
    </row>
    <row r="757" spans="1:13" ht="27.75" customHeight="1" x14ac:dyDescent="0.25">
      <c r="A757" s="1452"/>
      <c r="B757" s="1132" t="s">
        <v>845</v>
      </c>
      <c r="C757" s="1041" t="s">
        <v>180</v>
      </c>
      <c r="D757" s="734" t="s">
        <v>225</v>
      </c>
      <c r="E757" s="371">
        <f>E758+E759</f>
        <v>6500000</v>
      </c>
      <c r="F757" s="859">
        <f>F758+F759</f>
        <v>0</v>
      </c>
      <c r="G757" s="1041"/>
      <c r="H757" s="1041"/>
      <c r="I757" s="1041"/>
      <c r="J757" s="1119"/>
      <c r="K757" s="1041"/>
      <c r="L757" s="981">
        <f>L758+L759</f>
        <v>26000000</v>
      </c>
    </row>
    <row r="758" spans="1:13" ht="27.75" customHeight="1" x14ac:dyDescent="0.25">
      <c r="A758" s="1452"/>
      <c r="B758" s="1133"/>
      <c r="C758" s="1111"/>
      <c r="D758" s="934" t="s">
        <v>283</v>
      </c>
      <c r="E758" s="799">
        <f>E761+E764</f>
        <v>6500000</v>
      </c>
      <c r="F758" s="805">
        <f>F761</f>
        <v>0</v>
      </c>
      <c r="G758" s="1111"/>
      <c r="H758" s="1111"/>
      <c r="I758" s="1111"/>
      <c r="J758" s="1120"/>
      <c r="K758" s="1111"/>
      <c r="L758" s="463">
        <f>L761</f>
        <v>10400000</v>
      </c>
    </row>
    <row r="759" spans="1:13" ht="27.75" customHeight="1" thickBot="1" x14ac:dyDescent="0.3">
      <c r="A759" s="752"/>
      <c r="B759" s="1134"/>
      <c r="C759" s="1042"/>
      <c r="D759" s="730" t="s">
        <v>282</v>
      </c>
      <c r="E759" s="799">
        <f>E762+E765</f>
        <v>0</v>
      </c>
      <c r="F759" s="800">
        <f>F762</f>
        <v>0</v>
      </c>
      <c r="G759" s="1042"/>
      <c r="H759" s="1042"/>
      <c r="I759" s="1042"/>
      <c r="J759" s="1116"/>
      <c r="K759" s="1042"/>
      <c r="L759" s="993">
        <f>L762</f>
        <v>15600000</v>
      </c>
    </row>
    <row r="760" spans="1:13" ht="43.5" customHeight="1" x14ac:dyDescent="0.25">
      <c r="A760" s="752"/>
      <c r="B760" s="1108" t="s">
        <v>846</v>
      </c>
      <c r="C760" s="1041" t="s">
        <v>180</v>
      </c>
      <c r="D760" s="734" t="s">
        <v>225</v>
      </c>
      <c r="E760" s="349">
        <f>E761+E762</f>
        <v>2000000</v>
      </c>
      <c r="F760" s="349">
        <f>F761+F762</f>
        <v>0</v>
      </c>
      <c r="G760" s="1041" t="s">
        <v>426</v>
      </c>
      <c r="H760" s="654" t="s">
        <v>848</v>
      </c>
      <c r="I760" s="919" t="s">
        <v>357</v>
      </c>
      <c r="J760" s="871">
        <v>20</v>
      </c>
      <c r="K760" s="972">
        <v>0</v>
      </c>
      <c r="L760" s="981">
        <f>L761+L762</f>
        <v>26000000</v>
      </c>
    </row>
    <row r="761" spans="1:13" ht="21" customHeight="1" x14ac:dyDescent="0.25">
      <c r="A761" s="752"/>
      <c r="B761" s="1109"/>
      <c r="C761" s="1111"/>
      <c r="D761" s="934" t="s">
        <v>283</v>
      </c>
      <c r="E761" s="806">
        <v>2000000</v>
      </c>
      <c r="F761" s="807">
        <v>0</v>
      </c>
      <c r="G761" s="1111"/>
      <c r="H761" s="1112"/>
      <c r="I761" s="1114"/>
      <c r="J761" s="1115"/>
      <c r="K761" s="1117"/>
      <c r="L761" s="463">
        <v>10400000</v>
      </c>
    </row>
    <row r="762" spans="1:13" ht="66" customHeight="1" thickBot="1" x14ac:dyDescent="0.3">
      <c r="A762" s="752"/>
      <c r="B762" s="1110"/>
      <c r="C762" s="1042"/>
      <c r="D762" s="730" t="s">
        <v>282</v>
      </c>
      <c r="E762" s="809">
        <v>0</v>
      </c>
      <c r="F762" s="810">
        <v>0</v>
      </c>
      <c r="G762" s="1042"/>
      <c r="H762" s="1113"/>
      <c r="I762" s="1042"/>
      <c r="J762" s="1116"/>
      <c r="K762" s="1118"/>
      <c r="L762" s="993">
        <v>15600000</v>
      </c>
    </row>
    <row r="763" spans="1:13" ht="43.5" customHeight="1" x14ac:dyDescent="0.25">
      <c r="A763" s="752"/>
      <c r="B763" s="1108" t="s">
        <v>847</v>
      </c>
      <c r="C763" s="1041" t="s">
        <v>180</v>
      </c>
      <c r="D763" s="734" t="s">
        <v>225</v>
      </c>
      <c r="E763" s="349">
        <f>E764+E765</f>
        <v>4500000</v>
      </c>
      <c r="F763" s="349">
        <f>F764+F765</f>
        <v>0</v>
      </c>
      <c r="G763" s="1041" t="s">
        <v>426</v>
      </c>
      <c r="H763" s="654" t="s">
        <v>849</v>
      </c>
      <c r="I763" s="919" t="s">
        <v>357</v>
      </c>
      <c r="J763" s="871">
        <v>20</v>
      </c>
      <c r="K763" s="972">
        <v>0</v>
      </c>
      <c r="L763" s="981">
        <f>L764+L765</f>
        <v>26000000</v>
      </c>
    </row>
    <row r="764" spans="1:13" ht="21" customHeight="1" x14ac:dyDescent="0.25">
      <c r="A764" s="752"/>
      <c r="B764" s="1109"/>
      <c r="C764" s="1111"/>
      <c r="D764" s="934" t="s">
        <v>283</v>
      </c>
      <c r="E764" s="806">
        <v>4500000</v>
      </c>
      <c r="F764" s="807">
        <v>0</v>
      </c>
      <c r="G764" s="1111"/>
      <c r="H764" s="1112"/>
      <c r="I764" s="1114"/>
      <c r="J764" s="1115"/>
      <c r="K764" s="1117"/>
      <c r="L764" s="463">
        <v>10400000</v>
      </c>
    </row>
    <row r="765" spans="1:13" ht="19.5" customHeight="1" thickBot="1" x14ac:dyDescent="0.3">
      <c r="A765" s="752"/>
      <c r="B765" s="1110"/>
      <c r="C765" s="1042"/>
      <c r="D765" s="730" t="s">
        <v>282</v>
      </c>
      <c r="E765" s="809">
        <v>0</v>
      </c>
      <c r="F765" s="810">
        <v>0</v>
      </c>
      <c r="G765" s="1042"/>
      <c r="H765" s="1113"/>
      <c r="I765" s="1042"/>
      <c r="J765" s="1116"/>
      <c r="K765" s="1118"/>
      <c r="L765" s="993">
        <v>15600000</v>
      </c>
    </row>
    <row r="766" spans="1:13" s="315" customFormat="1" x14ac:dyDescent="0.25">
      <c r="A766" s="752"/>
      <c r="B766" s="469"/>
      <c r="C766" s="468"/>
      <c r="D766" s="468"/>
      <c r="E766" s="323"/>
      <c r="F766" s="323"/>
      <c r="G766" s="780"/>
      <c r="H766" s="469"/>
      <c r="I766" s="780"/>
      <c r="J766" s="713"/>
      <c r="K766" s="468"/>
      <c r="L766" s="469"/>
    </row>
    <row r="767" spans="1:13" s="315" customFormat="1" x14ac:dyDescent="0.25">
      <c r="A767" s="752"/>
      <c r="B767" s="469"/>
      <c r="C767" s="468"/>
      <c r="D767" s="468"/>
      <c r="E767" s="323"/>
      <c r="F767" s="323"/>
      <c r="G767" s="780"/>
      <c r="H767" s="469"/>
      <c r="I767" s="780"/>
      <c r="J767" s="713"/>
      <c r="K767" s="468"/>
      <c r="L767" s="469"/>
    </row>
    <row r="768" spans="1:13" s="315" customFormat="1" x14ac:dyDescent="0.25">
      <c r="A768" s="752"/>
      <c r="B768" s="469"/>
      <c r="C768" s="468"/>
      <c r="D768" s="468"/>
      <c r="E768" s="323"/>
      <c r="F768" s="323"/>
      <c r="G768" s="780"/>
      <c r="H768" s="469"/>
      <c r="I768" s="780"/>
      <c r="J768" s="713"/>
      <c r="K768" s="468"/>
      <c r="L768" s="469"/>
    </row>
    <row r="769" spans="1:12" s="315" customFormat="1" x14ac:dyDescent="0.25">
      <c r="A769" s="752"/>
      <c r="B769" s="469"/>
      <c r="C769" s="468"/>
      <c r="D769" s="468"/>
      <c r="E769" s="323"/>
      <c r="F769" s="323"/>
      <c r="G769" s="780"/>
      <c r="H769" s="469"/>
      <c r="I769" s="780"/>
      <c r="J769" s="713"/>
      <c r="K769" s="468"/>
      <c r="L769" s="469"/>
    </row>
    <row r="770" spans="1:12" s="315" customFormat="1" x14ac:dyDescent="0.25">
      <c r="A770" s="752"/>
      <c r="B770" s="469"/>
      <c r="C770" s="468"/>
      <c r="D770" s="468"/>
      <c r="E770" s="323"/>
      <c r="F770" s="323"/>
      <c r="G770" s="780"/>
      <c r="H770" s="469"/>
      <c r="I770" s="780"/>
      <c r="J770" s="713"/>
      <c r="K770" s="468"/>
      <c r="L770" s="469"/>
    </row>
    <row r="771" spans="1:12" s="315" customFormat="1" x14ac:dyDescent="0.25">
      <c r="A771" s="752"/>
      <c r="B771" s="469"/>
      <c r="C771" s="468"/>
      <c r="D771" s="468"/>
      <c r="E771" s="323"/>
      <c r="F771" s="323"/>
      <c r="G771" s="780"/>
      <c r="H771" s="469"/>
      <c r="I771" s="780"/>
      <c r="J771" s="713"/>
      <c r="K771" s="468"/>
      <c r="L771" s="469"/>
    </row>
    <row r="772" spans="1:12" s="315" customFormat="1" x14ac:dyDescent="0.25">
      <c r="A772" s="752"/>
      <c r="B772" s="469"/>
      <c r="C772" s="468"/>
      <c r="D772" s="468"/>
      <c r="E772" s="323"/>
      <c r="F772" s="323"/>
      <c r="G772" s="780"/>
      <c r="H772" s="469"/>
      <c r="I772" s="780"/>
      <c r="J772" s="713"/>
      <c r="K772" s="468"/>
      <c r="L772" s="469"/>
    </row>
    <row r="773" spans="1:12" s="315" customFormat="1" x14ac:dyDescent="0.25">
      <c r="A773" s="752"/>
      <c r="B773" s="469"/>
      <c r="C773" s="468"/>
      <c r="D773" s="468"/>
      <c r="E773" s="323"/>
      <c r="F773" s="323"/>
      <c r="G773" s="780"/>
      <c r="H773" s="469"/>
      <c r="I773" s="780"/>
      <c r="J773" s="713"/>
      <c r="K773" s="468"/>
      <c r="L773" s="469"/>
    </row>
    <row r="774" spans="1:12" s="315" customFormat="1" x14ac:dyDescent="0.25">
      <c r="A774" s="752"/>
      <c r="B774" s="469"/>
      <c r="C774" s="468"/>
      <c r="D774" s="468"/>
      <c r="E774" s="323"/>
      <c r="F774" s="323"/>
      <c r="G774" s="780"/>
      <c r="H774" s="469"/>
      <c r="I774" s="780"/>
      <c r="J774" s="713"/>
      <c r="K774" s="468"/>
      <c r="L774" s="469"/>
    </row>
    <row r="775" spans="1:12" s="315" customFormat="1" x14ac:dyDescent="0.25">
      <c r="A775" s="752"/>
      <c r="B775" s="469"/>
      <c r="C775" s="468"/>
      <c r="D775" s="468"/>
      <c r="E775" s="323"/>
      <c r="F775" s="323"/>
      <c r="G775" s="780"/>
      <c r="H775" s="469"/>
      <c r="I775" s="780"/>
      <c r="J775" s="713"/>
      <c r="K775" s="468"/>
      <c r="L775" s="469"/>
    </row>
    <row r="776" spans="1:12" s="315" customFormat="1" x14ac:dyDescent="0.25">
      <c r="A776" s="752"/>
      <c r="B776" s="469"/>
      <c r="C776" s="468"/>
      <c r="D776" s="468"/>
      <c r="E776" s="323"/>
      <c r="F776" s="323"/>
      <c r="G776" s="780"/>
      <c r="H776" s="469"/>
      <c r="I776" s="780"/>
      <c r="J776" s="713"/>
      <c r="K776" s="468"/>
      <c r="L776" s="469"/>
    </row>
    <row r="777" spans="1:12" s="315" customFormat="1" x14ac:dyDescent="0.25">
      <c r="A777" s="752"/>
      <c r="B777" s="469"/>
      <c r="C777" s="468"/>
      <c r="D777" s="468"/>
      <c r="E777" s="323"/>
      <c r="F777" s="323"/>
      <c r="G777" s="780"/>
      <c r="H777" s="469"/>
      <c r="I777" s="780"/>
      <c r="J777" s="713"/>
      <c r="K777" s="468"/>
      <c r="L777" s="469"/>
    </row>
    <row r="778" spans="1:12" s="315" customFormat="1" x14ac:dyDescent="0.25">
      <c r="A778" s="752"/>
      <c r="B778" s="469"/>
      <c r="C778" s="468"/>
      <c r="D778" s="468"/>
      <c r="E778" s="323"/>
      <c r="F778" s="323"/>
      <c r="G778" s="780"/>
      <c r="H778" s="469"/>
      <c r="I778" s="780"/>
      <c r="J778" s="713"/>
      <c r="K778" s="468"/>
      <c r="L778" s="469"/>
    </row>
    <row r="779" spans="1:12" s="315" customFormat="1" x14ac:dyDescent="0.25">
      <c r="A779" s="752"/>
      <c r="B779" s="469"/>
      <c r="C779" s="468"/>
      <c r="D779" s="468"/>
      <c r="E779" s="323"/>
      <c r="F779" s="323"/>
      <c r="G779" s="780"/>
      <c r="H779" s="469"/>
      <c r="I779" s="780"/>
      <c r="J779" s="713"/>
      <c r="K779" s="468"/>
      <c r="L779" s="469"/>
    </row>
    <row r="780" spans="1:12" s="315" customFormat="1" x14ac:dyDescent="0.25">
      <c r="A780" s="752"/>
      <c r="B780" s="469"/>
      <c r="C780" s="468"/>
      <c r="D780" s="468"/>
      <c r="E780" s="323"/>
      <c r="F780" s="323"/>
      <c r="G780" s="780"/>
      <c r="H780" s="469"/>
      <c r="I780" s="780"/>
      <c r="J780" s="713"/>
      <c r="K780" s="468"/>
      <c r="L780" s="469"/>
    </row>
    <row r="781" spans="1:12" s="315" customFormat="1" x14ac:dyDescent="0.25">
      <c r="A781" s="752"/>
      <c r="B781" s="469"/>
      <c r="C781" s="468"/>
      <c r="D781" s="468"/>
      <c r="E781" s="323"/>
      <c r="F781" s="323"/>
      <c r="G781" s="780"/>
      <c r="H781" s="469"/>
      <c r="I781" s="780"/>
      <c r="J781" s="713"/>
      <c r="K781" s="468"/>
      <c r="L781" s="469"/>
    </row>
    <row r="782" spans="1:12" s="315" customFormat="1" x14ac:dyDescent="0.25">
      <c r="A782" s="752"/>
      <c r="B782" s="469"/>
      <c r="C782" s="468"/>
      <c r="D782" s="468"/>
      <c r="E782" s="323"/>
      <c r="F782" s="323"/>
      <c r="G782" s="780"/>
      <c r="H782" s="469"/>
      <c r="I782" s="780"/>
      <c r="J782" s="713"/>
      <c r="K782" s="468"/>
      <c r="L782" s="469"/>
    </row>
    <row r="783" spans="1:12" s="315" customFormat="1" x14ac:dyDescent="0.25">
      <c r="A783" s="752"/>
      <c r="B783" s="469"/>
      <c r="C783" s="468"/>
      <c r="D783" s="468"/>
      <c r="E783" s="323"/>
      <c r="F783" s="323"/>
      <c r="G783" s="780"/>
      <c r="H783" s="469"/>
      <c r="I783" s="780"/>
      <c r="J783" s="713"/>
      <c r="K783" s="468"/>
      <c r="L783" s="469"/>
    </row>
    <row r="784" spans="1:12" s="315" customFormat="1" x14ac:dyDescent="0.25">
      <c r="A784" s="752"/>
      <c r="B784" s="469"/>
      <c r="C784" s="468"/>
      <c r="D784" s="468"/>
      <c r="E784" s="323"/>
      <c r="F784" s="323"/>
      <c r="G784" s="780"/>
      <c r="H784" s="469"/>
      <c r="I784" s="780"/>
      <c r="J784" s="713"/>
      <c r="K784" s="468"/>
      <c r="L784" s="469"/>
    </row>
    <row r="785" spans="1:12" s="315" customFormat="1" x14ac:dyDescent="0.25">
      <c r="A785" s="752"/>
      <c r="B785" s="469"/>
      <c r="C785" s="468"/>
      <c r="D785" s="468"/>
      <c r="E785" s="323"/>
      <c r="F785" s="323"/>
      <c r="G785" s="780"/>
      <c r="H785" s="469"/>
      <c r="I785" s="780"/>
      <c r="J785" s="713"/>
      <c r="K785" s="468"/>
      <c r="L785" s="469"/>
    </row>
    <row r="786" spans="1:12" s="315" customFormat="1" x14ac:dyDescent="0.25">
      <c r="A786" s="752"/>
      <c r="B786" s="469"/>
      <c r="C786" s="468"/>
      <c r="D786" s="468"/>
      <c r="E786" s="323"/>
      <c r="F786" s="323"/>
      <c r="G786" s="780"/>
      <c r="H786" s="469"/>
      <c r="I786" s="780"/>
      <c r="J786" s="713"/>
      <c r="K786" s="468"/>
      <c r="L786" s="469"/>
    </row>
    <row r="787" spans="1:12" s="315" customFormat="1" x14ac:dyDescent="0.25">
      <c r="A787" s="752"/>
      <c r="B787" s="469"/>
      <c r="C787" s="468"/>
      <c r="D787" s="468"/>
      <c r="E787" s="323"/>
      <c r="F787" s="323"/>
      <c r="G787" s="780"/>
      <c r="H787" s="469"/>
      <c r="I787" s="780"/>
      <c r="J787" s="713"/>
      <c r="K787" s="468"/>
      <c r="L787" s="469"/>
    </row>
    <row r="788" spans="1:12" s="315" customFormat="1" x14ac:dyDescent="0.25">
      <c r="A788" s="752"/>
      <c r="B788" s="469"/>
      <c r="C788" s="468"/>
      <c r="D788" s="468"/>
      <c r="E788" s="323"/>
      <c r="F788" s="323"/>
      <c r="G788" s="780"/>
      <c r="H788" s="469"/>
      <c r="I788" s="780"/>
      <c r="J788" s="713"/>
      <c r="K788" s="468"/>
      <c r="L788" s="469"/>
    </row>
    <row r="789" spans="1:12" s="315" customFormat="1" x14ac:dyDescent="0.25">
      <c r="A789" s="752"/>
      <c r="B789" s="469"/>
      <c r="C789" s="468"/>
      <c r="D789" s="468"/>
      <c r="E789" s="323"/>
      <c r="F789" s="323"/>
      <c r="G789" s="780"/>
      <c r="H789" s="469"/>
      <c r="I789" s="780"/>
      <c r="J789" s="713"/>
      <c r="K789" s="468"/>
      <c r="L789" s="469"/>
    </row>
    <row r="790" spans="1:12" s="315" customFormat="1" x14ac:dyDescent="0.25">
      <c r="A790" s="752"/>
      <c r="B790" s="469"/>
      <c r="C790" s="468"/>
      <c r="D790" s="468"/>
      <c r="E790" s="323"/>
      <c r="F790" s="323"/>
      <c r="G790" s="780"/>
      <c r="H790" s="469"/>
      <c r="I790" s="780"/>
      <c r="J790" s="713"/>
      <c r="K790" s="468"/>
      <c r="L790" s="469"/>
    </row>
    <row r="791" spans="1:12" s="315" customFormat="1" x14ac:dyDescent="0.25">
      <c r="A791" s="752"/>
      <c r="B791" s="469"/>
      <c r="C791" s="468"/>
      <c r="D791" s="468"/>
      <c r="E791" s="323"/>
      <c r="F791" s="323"/>
      <c r="G791" s="780"/>
      <c r="H791" s="469"/>
      <c r="I791" s="780"/>
      <c r="J791" s="713"/>
      <c r="K791" s="468"/>
      <c r="L791" s="469"/>
    </row>
    <row r="792" spans="1:12" s="315" customFormat="1" x14ac:dyDescent="0.25">
      <c r="A792" s="752"/>
      <c r="B792" s="469"/>
      <c r="C792" s="468"/>
      <c r="D792" s="468"/>
      <c r="E792" s="323"/>
      <c r="F792" s="323"/>
      <c r="G792" s="780"/>
      <c r="H792" s="469"/>
      <c r="I792" s="780"/>
      <c r="J792" s="713"/>
      <c r="K792" s="468"/>
      <c r="L792" s="469"/>
    </row>
    <row r="793" spans="1:12" s="315" customFormat="1" x14ac:dyDescent="0.25">
      <c r="A793" s="752"/>
      <c r="B793" s="469"/>
      <c r="C793" s="468"/>
      <c r="D793" s="468"/>
      <c r="E793" s="323"/>
      <c r="F793" s="323"/>
      <c r="G793" s="780"/>
      <c r="H793" s="469"/>
      <c r="I793" s="780"/>
      <c r="J793" s="713"/>
      <c r="K793" s="468"/>
      <c r="L793" s="469"/>
    </row>
    <row r="794" spans="1:12" s="315" customFormat="1" x14ac:dyDescent="0.25">
      <c r="A794" s="752"/>
      <c r="B794" s="469"/>
      <c r="C794" s="468"/>
      <c r="D794" s="468"/>
      <c r="E794" s="323"/>
      <c r="F794" s="323"/>
      <c r="G794" s="780"/>
      <c r="H794" s="469"/>
      <c r="I794" s="780"/>
      <c r="J794" s="713"/>
      <c r="K794" s="468"/>
      <c r="L794" s="469"/>
    </row>
    <row r="795" spans="1:12" s="315" customFormat="1" x14ac:dyDescent="0.25">
      <c r="A795" s="752"/>
      <c r="B795" s="469"/>
      <c r="C795" s="468"/>
      <c r="D795" s="468"/>
      <c r="E795" s="323"/>
      <c r="F795" s="323"/>
      <c r="G795" s="780"/>
      <c r="H795" s="469"/>
      <c r="I795" s="780"/>
      <c r="J795" s="713"/>
      <c r="K795" s="468"/>
      <c r="L795" s="469"/>
    </row>
    <row r="796" spans="1:12" s="315" customFormat="1" x14ac:dyDescent="0.25">
      <c r="A796" s="752"/>
      <c r="B796" s="469"/>
      <c r="C796" s="468"/>
      <c r="D796" s="468"/>
      <c r="E796" s="323"/>
      <c r="F796" s="323"/>
      <c r="G796" s="780"/>
      <c r="H796" s="469"/>
      <c r="I796" s="780"/>
      <c r="J796" s="713"/>
      <c r="K796" s="468"/>
      <c r="L796" s="469"/>
    </row>
    <row r="797" spans="1:12" s="315" customFormat="1" x14ac:dyDescent="0.25">
      <c r="A797" s="752"/>
      <c r="B797" s="469"/>
      <c r="C797" s="468"/>
      <c r="D797" s="468"/>
      <c r="E797" s="323"/>
      <c r="F797" s="323"/>
      <c r="G797" s="780"/>
      <c r="H797" s="469"/>
      <c r="I797" s="780"/>
      <c r="J797" s="713"/>
      <c r="K797" s="468"/>
      <c r="L797" s="469"/>
    </row>
    <row r="798" spans="1:12" s="315" customFormat="1" x14ac:dyDescent="0.25">
      <c r="A798" s="752"/>
      <c r="B798" s="469"/>
      <c r="C798" s="468"/>
      <c r="D798" s="468"/>
      <c r="E798" s="323"/>
      <c r="F798" s="323"/>
      <c r="G798" s="780"/>
      <c r="H798" s="469"/>
      <c r="I798" s="780"/>
      <c r="J798" s="713"/>
      <c r="K798" s="468"/>
      <c r="L798" s="469"/>
    </row>
    <row r="799" spans="1:12" s="315" customFormat="1" x14ac:dyDescent="0.25">
      <c r="A799" s="752"/>
      <c r="B799" s="469"/>
      <c r="C799" s="468"/>
      <c r="D799" s="468"/>
      <c r="E799" s="323"/>
      <c r="F799" s="323"/>
      <c r="G799" s="780"/>
      <c r="H799" s="469"/>
      <c r="I799" s="780"/>
      <c r="J799" s="713"/>
      <c r="K799" s="468"/>
      <c r="L799" s="469"/>
    </row>
    <row r="800" spans="1:12" s="315" customFormat="1" x14ac:dyDescent="0.25">
      <c r="A800" s="752"/>
      <c r="B800" s="469"/>
      <c r="C800" s="468"/>
      <c r="D800" s="468"/>
      <c r="E800" s="323"/>
      <c r="F800" s="323"/>
      <c r="G800" s="780"/>
      <c r="H800" s="469"/>
      <c r="I800" s="780"/>
      <c r="J800" s="713"/>
      <c r="K800" s="468"/>
      <c r="L800" s="469"/>
    </row>
    <row r="801" spans="1:12" s="315" customFormat="1" x14ac:dyDescent="0.25">
      <c r="A801" s="752"/>
      <c r="B801" s="469"/>
      <c r="C801" s="468"/>
      <c r="D801" s="468"/>
      <c r="E801" s="323"/>
      <c r="F801" s="323"/>
      <c r="G801" s="780"/>
      <c r="H801" s="469"/>
      <c r="I801" s="780"/>
      <c r="J801" s="713"/>
      <c r="K801" s="468"/>
      <c r="L801" s="469"/>
    </row>
    <row r="802" spans="1:12" s="315" customFormat="1" x14ac:dyDescent="0.25">
      <c r="A802" s="752"/>
      <c r="B802" s="469"/>
      <c r="C802" s="468"/>
      <c r="D802" s="468"/>
      <c r="E802" s="323"/>
      <c r="F802" s="323"/>
      <c r="G802" s="780"/>
      <c r="H802" s="469"/>
      <c r="I802" s="780"/>
      <c r="J802" s="713"/>
      <c r="K802" s="468"/>
      <c r="L802" s="469"/>
    </row>
    <row r="803" spans="1:12" s="315" customFormat="1" x14ac:dyDescent="0.25">
      <c r="A803" s="752"/>
      <c r="B803" s="469"/>
      <c r="C803" s="468"/>
      <c r="D803" s="468"/>
      <c r="E803" s="323"/>
      <c r="F803" s="323"/>
      <c r="G803" s="780"/>
      <c r="H803" s="469"/>
      <c r="I803" s="780"/>
      <c r="J803" s="713"/>
      <c r="K803" s="468"/>
      <c r="L803" s="469"/>
    </row>
    <row r="804" spans="1:12" s="315" customFormat="1" x14ac:dyDescent="0.25">
      <c r="A804" s="752"/>
      <c r="B804" s="469"/>
      <c r="C804" s="468"/>
      <c r="D804" s="468"/>
      <c r="E804" s="323"/>
      <c r="F804" s="323"/>
      <c r="G804" s="780"/>
      <c r="H804" s="469"/>
      <c r="I804" s="780"/>
      <c r="J804" s="713"/>
      <c r="K804" s="468"/>
      <c r="L804" s="469"/>
    </row>
    <row r="805" spans="1:12" s="315" customFormat="1" x14ac:dyDescent="0.25">
      <c r="A805" s="752"/>
      <c r="B805" s="469"/>
      <c r="C805" s="468"/>
      <c r="D805" s="468"/>
      <c r="E805" s="323"/>
      <c r="F805" s="323"/>
      <c r="G805" s="780"/>
      <c r="H805" s="469"/>
      <c r="I805" s="780"/>
      <c r="J805" s="713"/>
      <c r="K805" s="468"/>
      <c r="L805" s="469"/>
    </row>
    <row r="806" spans="1:12" s="315" customFormat="1" x14ac:dyDescent="0.25">
      <c r="A806" s="752"/>
      <c r="B806" s="469"/>
      <c r="C806" s="468"/>
      <c r="D806" s="468"/>
      <c r="E806" s="323"/>
      <c r="F806" s="323"/>
      <c r="G806" s="780"/>
      <c r="H806" s="469"/>
      <c r="I806" s="780"/>
      <c r="J806" s="713"/>
      <c r="K806" s="468"/>
      <c r="L806" s="469"/>
    </row>
    <row r="807" spans="1:12" s="315" customFormat="1" x14ac:dyDescent="0.25">
      <c r="A807" s="752"/>
      <c r="B807" s="469"/>
      <c r="C807" s="468"/>
      <c r="D807" s="468"/>
      <c r="E807" s="323"/>
      <c r="F807" s="323"/>
      <c r="G807" s="780"/>
      <c r="H807" s="469"/>
      <c r="I807" s="780"/>
      <c r="J807" s="713"/>
      <c r="K807" s="468"/>
      <c r="L807" s="469"/>
    </row>
    <row r="808" spans="1:12" s="315" customFormat="1" x14ac:dyDescent="0.25">
      <c r="A808" s="752"/>
      <c r="B808" s="469"/>
      <c r="C808" s="468"/>
      <c r="D808" s="468"/>
      <c r="E808" s="323"/>
      <c r="F808" s="323"/>
      <c r="G808" s="780"/>
      <c r="H808" s="469"/>
      <c r="I808" s="780"/>
      <c r="J808" s="713"/>
      <c r="K808" s="468"/>
      <c r="L808" s="469"/>
    </row>
    <row r="809" spans="1:12" s="315" customFormat="1" x14ac:dyDescent="0.25">
      <c r="A809" s="752"/>
      <c r="B809" s="469"/>
      <c r="C809" s="468"/>
      <c r="D809" s="468"/>
      <c r="E809" s="323"/>
      <c r="F809" s="323"/>
      <c r="G809" s="780"/>
      <c r="H809" s="469"/>
      <c r="I809" s="780"/>
      <c r="J809" s="713"/>
      <c r="K809" s="468"/>
      <c r="L809" s="469"/>
    </row>
    <row r="810" spans="1:12" s="315" customFormat="1" x14ac:dyDescent="0.25">
      <c r="A810" s="752"/>
      <c r="B810" s="469"/>
      <c r="C810" s="468"/>
      <c r="D810" s="468"/>
      <c r="E810" s="323"/>
      <c r="F810" s="323"/>
      <c r="G810" s="780"/>
      <c r="H810" s="469"/>
      <c r="I810" s="780"/>
      <c r="J810" s="713"/>
      <c r="K810" s="468"/>
      <c r="L810" s="469"/>
    </row>
    <row r="811" spans="1:12" s="315" customFormat="1" x14ac:dyDescent="0.25">
      <c r="A811" s="752"/>
      <c r="B811" s="469"/>
      <c r="C811" s="468"/>
      <c r="D811" s="468"/>
      <c r="E811" s="323"/>
      <c r="F811" s="323"/>
      <c r="G811" s="780"/>
      <c r="H811" s="469"/>
      <c r="I811" s="780"/>
      <c r="J811" s="713"/>
      <c r="K811" s="468"/>
      <c r="L811" s="469"/>
    </row>
    <row r="812" spans="1:12" s="315" customFormat="1" x14ac:dyDescent="0.25">
      <c r="A812" s="752"/>
      <c r="B812" s="469"/>
      <c r="C812" s="468"/>
      <c r="D812" s="468"/>
      <c r="E812" s="323"/>
      <c r="F812" s="323"/>
      <c r="G812" s="780"/>
      <c r="H812" s="469"/>
      <c r="I812" s="780"/>
      <c r="J812" s="713"/>
      <c r="K812" s="468"/>
      <c r="L812" s="469"/>
    </row>
    <row r="813" spans="1:12" s="315" customFormat="1" x14ac:dyDescent="0.25">
      <c r="A813" s="752"/>
      <c r="B813" s="469"/>
      <c r="C813" s="468"/>
      <c r="D813" s="468"/>
      <c r="E813" s="323"/>
      <c r="F813" s="323"/>
      <c r="G813" s="780"/>
      <c r="H813" s="469"/>
      <c r="I813" s="780"/>
      <c r="J813" s="713"/>
      <c r="K813" s="468"/>
      <c r="L813" s="469"/>
    </row>
    <row r="814" spans="1:12" s="315" customFormat="1" x14ac:dyDescent="0.25">
      <c r="A814" s="752"/>
      <c r="B814" s="469"/>
      <c r="C814" s="468"/>
      <c r="D814" s="468"/>
      <c r="E814" s="323"/>
      <c r="F814" s="323"/>
      <c r="G814" s="780"/>
      <c r="H814" s="469"/>
      <c r="I814" s="780"/>
      <c r="J814" s="713"/>
      <c r="K814" s="468"/>
      <c r="L814" s="469"/>
    </row>
    <row r="815" spans="1:12" s="315" customFormat="1" x14ac:dyDescent="0.25">
      <c r="A815" s="752"/>
      <c r="B815" s="469"/>
      <c r="C815" s="468"/>
      <c r="D815" s="468"/>
      <c r="E815" s="323"/>
      <c r="F815" s="323"/>
      <c r="G815" s="780"/>
      <c r="H815" s="469"/>
      <c r="I815" s="780"/>
      <c r="J815" s="713"/>
      <c r="K815" s="468"/>
      <c r="L815" s="469"/>
    </row>
    <row r="816" spans="1:12" s="315" customFormat="1" x14ac:dyDescent="0.25">
      <c r="A816" s="752"/>
      <c r="B816" s="469"/>
      <c r="C816" s="468"/>
      <c r="D816" s="468"/>
      <c r="E816" s="323"/>
      <c r="F816" s="323"/>
      <c r="G816" s="780"/>
      <c r="H816" s="469"/>
      <c r="I816" s="780"/>
      <c r="J816" s="713"/>
      <c r="K816" s="468"/>
      <c r="L816" s="469"/>
    </row>
    <row r="817" spans="1:12" s="315" customFormat="1" x14ac:dyDescent="0.25">
      <c r="A817" s="752"/>
      <c r="B817" s="469"/>
      <c r="C817" s="468"/>
      <c r="D817" s="468"/>
      <c r="E817" s="323"/>
      <c r="F817" s="323"/>
      <c r="G817" s="780"/>
      <c r="H817" s="469"/>
      <c r="I817" s="780"/>
      <c r="J817" s="713"/>
      <c r="K817" s="468"/>
      <c r="L817" s="469"/>
    </row>
    <row r="818" spans="1:12" s="315" customFormat="1" x14ac:dyDescent="0.25">
      <c r="A818" s="752"/>
      <c r="B818" s="469"/>
      <c r="C818" s="468"/>
      <c r="D818" s="468"/>
      <c r="E818" s="323"/>
      <c r="F818" s="323"/>
      <c r="G818" s="780"/>
      <c r="H818" s="469"/>
      <c r="I818" s="780"/>
      <c r="J818" s="713"/>
      <c r="K818" s="468"/>
      <c r="L818" s="469"/>
    </row>
    <row r="819" spans="1:12" s="315" customFormat="1" x14ac:dyDescent="0.25">
      <c r="A819" s="752"/>
      <c r="B819" s="469"/>
      <c r="C819" s="468"/>
      <c r="D819" s="468"/>
      <c r="E819" s="323"/>
      <c r="F819" s="323"/>
      <c r="G819" s="780"/>
      <c r="H819" s="469"/>
      <c r="I819" s="780"/>
      <c r="J819" s="713"/>
      <c r="K819" s="468"/>
      <c r="L819" s="469"/>
    </row>
    <row r="820" spans="1:12" s="315" customFormat="1" x14ac:dyDescent="0.25">
      <c r="A820" s="752"/>
      <c r="B820" s="469"/>
      <c r="C820" s="468"/>
      <c r="D820" s="468"/>
      <c r="E820" s="323"/>
      <c r="F820" s="323"/>
      <c r="G820" s="780"/>
      <c r="H820" s="469"/>
      <c r="I820" s="780"/>
      <c r="J820" s="713"/>
      <c r="K820" s="468"/>
      <c r="L820" s="469"/>
    </row>
    <row r="821" spans="1:12" s="315" customFormat="1" x14ac:dyDescent="0.25">
      <c r="A821" s="752"/>
      <c r="B821" s="469"/>
      <c r="C821" s="468"/>
      <c r="D821" s="468"/>
      <c r="E821" s="323"/>
      <c r="F821" s="323"/>
      <c r="G821" s="780"/>
      <c r="H821" s="469"/>
      <c r="I821" s="780"/>
      <c r="J821" s="713"/>
      <c r="K821" s="468"/>
      <c r="L821" s="469"/>
    </row>
    <row r="822" spans="1:12" s="315" customFormat="1" x14ac:dyDescent="0.25">
      <c r="A822" s="752"/>
      <c r="B822" s="469"/>
      <c r="C822" s="468"/>
      <c r="D822" s="468"/>
      <c r="E822" s="323"/>
      <c r="F822" s="323"/>
      <c r="G822" s="780"/>
      <c r="H822" s="469"/>
      <c r="I822" s="780"/>
      <c r="J822" s="713"/>
      <c r="K822" s="468"/>
      <c r="L822" s="469"/>
    </row>
    <row r="823" spans="1:12" s="315" customFormat="1" x14ac:dyDescent="0.25">
      <c r="A823" s="752"/>
      <c r="B823" s="469"/>
      <c r="C823" s="468"/>
      <c r="D823" s="468"/>
      <c r="E823" s="323"/>
      <c r="F823" s="323"/>
      <c r="G823" s="780"/>
      <c r="H823" s="469"/>
      <c r="I823" s="780"/>
      <c r="J823" s="713"/>
      <c r="K823" s="468"/>
      <c r="L823" s="469"/>
    </row>
    <row r="824" spans="1:12" s="315" customFormat="1" x14ac:dyDescent="0.25">
      <c r="A824" s="752"/>
      <c r="B824" s="469"/>
      <c r="C824" s="468"/>
      <c r="D824" s="468"/>
      <c r="E824" s="323"/>
      <c r="F824" s="323"/>
      <c r="G824" s="780"/>
      <c r="H824" s="469"/>
      <c r="I824" s="780"/>
      <c r="J824" s="713"/>
      <c r="K824" s="468"/>
      <c r="L824" s="469"/>
    </row>
    <row r="825" spans="1:12" s="315" customFormat="1" x14ac:dyDescent="0.25">
      <c r="A825" s="752"/>
      <c r="B825" s="469"/>
      <c r="C825" s="468"/>
      <c r="D825" s="468"/>
      <c r="E825" s="323"/>
      <c r="F825" s="323"/>
      <c r="G825" s="780"/>
      <c r="H825" s="469"/>
      <c r="I825" s="780"/>
      <c r="J825" s="713"/>
      <c r="K825" s="468"/>
      <c r="L825" s="469"/>
    </row>
    <row r="826" spans="1:12" s="315" customFormat="1" x14ac:dyDescent="0.25">
      <c r="A826" s="752"/>
      <c r="B826" s="469"/>
      <c r="C826" s="468"/>
      <c r="D826" s="468"/>
      <c r="E826" s="323"/>
      <c r="F826" s="323"/>
      <c r="G826" s="780"/>
      <c r="H826" s="469"/>
      <c r="I826" s="780"/>
      <c r="J826" s="713"/>
      <c r="K826" s="468"/>
      <c r="L826" s="469"/>
    </row>
    <row r="827" spans="1:12" s="315" customFormat="1" x14ac:dyDescent="0.25">
      <c r="A827" s="752"/>
      <c r="B827" s="469"/>
      <c r="C827" s="468"/>
      <c r="D827" s="468"/>
      <c r="E827" s="323"/>
      <c r="F827" s="323"/>
      <c r="G827" s="780"/>
      <c r="H827" s="469"/>
      <c r="I827" s="780"/>
      <c r="J827" s="713"/>
      <c r="K827" s="468"/>
      <c r="L827" s="469"/>
    </row>
    <row r="828" spans="1:12" s="315" customFormat="1" x14ac:dyDescent="0.25">
      <c r="A828" s="752"/>
      <c r="B828" s="469"/>
      <c r="C828" s="468"/>
      <c r="D828" s="468"/>
      <c r="E828" s="323"/>
      <c r="F828" s="323"/>
      <c r="G828" s="780"/>
      <c r="H828" s="469"/>
      <c r="I828" s="780"/>
      <c r="J828" s="713"/>
      <c r="K828" s="468"/>
      <c r="L828" s="469"/>
    </row>
    <row r="829" spans="1:12" s="315" customFormat="1" x14ac:dyDescent="0.25">
      <c r="A829" s="752"/>
      <c r="B829" s="469"/>
      <c r="C829" s="468"/>
      <c r="D829" s="468"/>
      <c r="E829" s="323"/>
      <c r="F829" s="323"/>
      <c r="G829" s="780"/>
      <c r="H829" s="469"/>
      <c r="I829" s="780"/>
      <c r="J829" s="713"/>
      <c r="K829" s="468"/>
      <c r="L829" s="469"/>
    </row>
    <row r="830" spans="1:12" s="315" customFormat="1" x14ac:dyDescent="0.25">
      <c r="A830" s="752"/>
      <c r="B830" s="469"/>
      <c r="C830" s="468"/>
      <c r="D830" s="468"/>
      <c r="E830" s="323"/>
      <c r="F830" s="323"/>
      <c r="G830" s="780"/>
      <c r="H830" s="469"/>
      <c r="I830" s="780"/>
      <c r="J830" s="713"/>
      <c r="K830" s="468"/>
      <c r="L830" s="469"/>
    </row>
    <row r="831" spans="1:12" s="315" customFormat="1" x14ac:dyDescent="0.25">
      <c r="A831" s="752"/>
      <c r="B831" s="469"/>
      <c r="C831" s="468"/>
      <c r="D831" s="468"/>
      <c r="E831" s="323"/>
      <c r="F831" s="323"/>
      <c r="G831" s="780"/>
      <c r="H831" s="469"/>
      <c r="I831" s="780"/>
      <c r="J831" s="713"/>
      <c r="K831" s="468"/>
      <c r="L831" s="469"/>
    </row>
    <row r="832" spans="1:12" s="315" customFormat="1" x14ac:dyDescent="0.25">
      <c r="A832" s="752"/>
      <c r="B832" s="469"/>
      <c r="C832" s="468"/>
      <c r="D832" s="468"/>
      <c r="E832" s="323"/>
      <c r="F832" s="323"/>
      <c r="G832" s="780"/>
      <c r="H832" s="469"/>
      <c r="I832" s="780"/>
      <c r="J832" s="713"/>
      <c r="K832" s="468"/>
      <c r="L832" s="469"/>
    </row>
    <row r="833" spans="1:12" s="315" customFormat="1" x14ac:dyDescent="0.25">
      <c r="A833" s="752"/>
      <c r="B833" s="469"/>
      <c r="C833" s="468"/>
      <c r="D833" s="468"/>
      <c r="E833" s="323"/>
      <c r="F833" s="323"/>
      <c r="G833" s="780"/>
      <c r="H833" s="469"/>
      <c r="I833" s="780"/>
      <c r="J833" s="713"/>
      <c r="K833" s="468"/>
      <c r="L833" s="469"/>
    </row>
    <row r="834" spans="1:12" s="315" customFormat="1" x14ac:dyDescent="0.25">
      <c r="A834" s="752"/>
      <c r="B834" s="469"/>
      <c r="C834" s="468"/>
      <c r="D834" s="468"/>
      <c r="E834" s="323"/>
      <c r="F834" s="323"/>
      <c r="G834" s="780"/>
      <c r="H834" s="469"/>
      <c r="I834" s="780"/>
      <c r="J834" s="713"/>
      <c r="K834" s="468"/>
      <c r="L834" s="469"/>
    </row>
    <row r="835" spans="1:12" s="315" customFormat="1" x14ac:dyDescent="0.25">
      <c r="A835" s="752"/>
      <c r="B835" s="469"/>
      <c r="C835" s="468"/>
      <c r="D835" s="468"/>
      <c r="E835" s="323"/>
      <c r="F835" s="323"/>
      <c r="G835" s="780"/>
      <c r="H835" s="469"/>
      <c r="I835" s="780"/>
      <c r="J835" s="713"/>
      <c r="K835" s="468"/>
      <c r="L835" s="469"/>
    </row>
    <row r="836" spans="1:12" s="315" customFormat="1" x14ac:dyDescent="0.25">
      <c r="A836" s="752"/>
      <c r="B836" s="469"/>
      <c r="C836" s="468"/>
      <c r="D836" s="468"/>
      <c r="E836" s="323"/>
      <c r="F836" s="323"/>
      <c r="G836" s="780"/>
      <c r="H836" s="469"/>
      <c r="I836" s="780"/>
      <c r="J836" s="713"/>
      <c r="K836" s="468"/>
      <c r="L836" s="469"/>
    </row>
    <row r="837" spans="1:12" s="315" customFormat="1" x14ac:dyDescent="0.25">
      <c r="A837" s="752"/>
      <c r="B837" s="469"/>
      <c r="C837" s="468"/>
      <c r="D837" s="468"/>
      <c r="E837" s="323"/>
      <c r="F837" s="323"/>
      <c r="G837" s="780"/>
      <c r="H837" s="469"/>
      <c r="I837" s="780"/>
      <c r="J837" s="713"/>
      <c r="K837" s="468"/>
      <c r="L837" s="469"/>
    </row>
    <row r="838" spans="1:12" s="315" customFormat="1" x14ac:dyDescent="0.25">
      <c r="A838" s="752"/>
      <c r="B838" s="469"/>
      <c r="C838" s="468"/>
      <c r="D838" s="468"/>
      <c r="E838" s="323"/>
      <c r="F838" s="323"/>
      <c r="G838" s="780"/>
      <c r="H838" s="469"/>
      <c r="I838" s="780"/>
      <c r="J838" s="713"/>
      <c r="K838" s="468"/>
      <c r="L838" s="469"/>
    </row>
    <row r="839" spans="1:12" s="315" customFormat="1" x14ac:dyDescent="0.25">
      <c r="A839" s="752"/>
      <c r="B839" s="469"/>
      <c r="C839" s="468"/>
      <c r="D839" s="468"/>
      <c r="E839" s="323"/>
      <c r="F839" s="323"/>
      <c r="G839" s="780"/>
      <c r="H839" s="469"/>
      <c r="I839" s="780"/>
      <c r="J839" s="713"/>
      <c r="K839" s="468"/>
      <c r="L839" s="469"/>
    </row>
    <row r="840" spans="1:12" s="315" customFormat="1" x14ac:dyDescent="0.25">
      <c r="A840" s="752"/>
      <c r="B840" s="469"/>
      <c r="C840" s="468"/>
      <c r="D840" s="468"/>
      <c r="E840" s="323"/>
      <c r="F840" s="323"/>
      <c r="G840" s="780"/>
      <c r="H840" s="469"/>
      <c r="I840" s="780"/>
      <c r="J840" s="713"/>
      <c r="K840" s="468"/>
      <c r="L840" s="469"/>
    </row>
    <row r="841" spans="1:12" s="315" customFormat="1" x14ac:dyDescent="0.25">
      <c r="A841" s="752"/>
      <c r="B841" s="469"/>
      <c r="C841" s="468"/>
      <c r="D841" s="468"/>
      <c r="E841" s="323"/>
      <c r="F841" s="323"/>
      <c r="G841" s="780"/>
      <c r="H841" s="469"/>
      <c r="I841" s="780"/>
      <c r="J841" s="713"/>
      <c r="K841" s="468"/>
      <c r="L841" s="469"/>
    </row>
    <row r="842" spans="1:12" s="315" customFormat="1" x14ac:dyDescent="0.25">
      <c r="A842" s="752"/>
      <c r="B842" s="469"/>
      <c r="C842" s="468"/>
      <c r="D842" s="468"/>
      <c r="E842" s="323"/>
      <c r="F842" s="323"/>
      <c r="G842" s="780"/>
      <c r="H842" s="469"/>
      <c r="I842" s="780"/>
      <c r="J842" s="713"/>
      <c r="K842" s="468"/>
      <c r="L842" s="469"/>
    </row>
    <row r="843" spans="1:12" s="315" customFormat="1" x14ac:dyDescent="0.25">
      <c r="A843" s="752"/>
      <c r="B843" s="469"/>
      <c r="C843" s="468"/>
      <c r="D843" s="468"/>
      <c r="E843" s="323"/>
      <c r="F843" s="323"/>
      <c r="G843" s="780"/>
      <c r="H843" s="469"/>
      <c r="I843" s="780"/>
      <c r="J843" s="713"/>
      <c r="K843" s="468"/>
      <c r="L843" s="469"/>
    </row>
    <row r="844" spans="1:12" s="315" customFormat="1" x14ac:dyDescent="0.25">
      <c r="A844" s="752"/>
      <c r="B844" s="469"/>
      <c r="C844" s="468"/>
      <c r="D844" s="468"/>
      <c r="E844" s="323"/>
      <c r="F844" s="323"/>
      <c r="G844" s="780"/>
      <c r="H844" s="469"/>
      <c r="I844" s="780"/>
      <c r="J844" s="713"/>
      <c r="K844" s="468"/>
      <c r="L844" s="469"/>
    </row>
    <row r="845" spans="1:12" s="315" customFormat="1" x14ac:dyDescent="0.25">
      <c r="A845" s="752"/>
      <c r="B845" s="469"/>
      <c r="C845" s="468"/>
      <c r="D845" s="468"/>
      <c r="E845" s="323"/>
      <c r="F845" s="323"/>
      <c r="G845" s="780"/>
      <c r="H845" s="469"/>
      <c r="I845" s="780"/>
      <c r="J845" s="713"/>
      <c r="K845" s="468"/>
      <c r="L845" s="469"/>
    </row>
    <row r="846" spans="1:12" s="315" customFormat="1" x14ac:dyDescent="0.25">
      <c r="A846" s="752"/>
      <c r="B846" s="469"/>
      <c r="C846" s="468"/>
      <c r="D846" s="468"/>
      <c r="E846" s="323"/>
      <c r="F846" s="323"/>
      <c r="G846" s="780"/>
      <c r="H846" s="469"/>
      <c r="I846" s="780"/>
      <c r="J846" s="713"/>
      <c r="K846" s="468"/>
      <c r="L846" s="469"/>
    </row>
    <row r="847" spans="1:12" s="315" customFormat="1" x14ac:dyDescent="0.25">
      <c r="A847" s="752"/>
      <c r="B847" s="469"/>
      <c r="C847" s="468"/>
      <c r="D847" s="468"/>
      <c r="E847" s="323"/>
      <c r="F847" s="323"/>
      <c r="G847" s="780"/>
      <c r="H847" s="469"/>
      <c r="I847" s="780"/>
      <c r="J847" s="713"/>
      <c r="K847" s="468"/>
      <c r="L847" s="469"/>
    </row>
    <row r="848" spans="1:12" s="315" customFormat="1" x14ac:dyDescent="0.25">
      <c r="A848" s="752"/>
      <c r="B848" s="469"/>
      <c r="C848" s="468"/>
      <c r="D848" s="468"/>
      <c r="E848" s="323"/>
      <c r="F848" s="323"/>
      <c r="G848" s="780"/>
      <c r="H848" s="469"/>
      <c r="I848" s="780"/>
      <c r="J848" s="713"/>
      <c r="K848" s="468"/>
      <c r="L848" s="469"/>
    </row>
    <row r="849" spans="1:12" s="315" customFormat="1" x14ac:dyDescent="0.25">
      <c r="A849" s="752"/>
      <c r="B849" s="469"/>
      <c r="C849" s="468"/>
      <c r="D849" s="468"/>
      <c r="E849" s="323"/>
      <c r="F849" s="323"/>
      <c r="G849" s="780"/>
      <c r="H849" s="469"/>
      <c r="I849" s="780"/>
      <c r="J849" s="713"/>
      <c r="K849" s="468"/>
      <c r="L849" s="469"/>
    </row>
    <row r="850" spans="1:12" s="315" customFormat="1" x14ac:dyDescent="0.25">
      <c r="A850" s="752"/>
      <c r="B850" s="469"/>
      <c r="C850" s="468"/>
      <c r="D850" s="468"/>
      <c r="E850" s="323"/>
      <c r="F850" s="323"/>
      <c r="G850" s="780"/>
      <c r="H850" s="469"/>
      <c r="I850" s="780"/>
      <c r="J850" s="713"/>
      <c r="K850" s="468"/>
      <c r="L850" s="469"/>
    </row>
    <row r="851" spans="1:12" s="315" customFormat="1" x14ac:dyDescent="0.25">
      <c r="A851" s="752"/>
      <c r="B851" s="469"/>
      <c r="C851" s="468"/>
      <c r="D851" s="468"/>
      <c r="E851" s="323"/>
      <c r="F851" s="323"/>
      <c r="G851" s="780"/>
      <c r="H851" s="469"/>
      <c r="I851" s="780"/>
      <c r="J851" s="713"/>
      <c r="K851" s="468"/>
      <c r="L851" s="469"/>
    </row>
    <row r="852" spans="1:12" s="315" customFormat="1" x14ac:dyDescent="0.25">
      <c r="A852" s="752"/>
      <c r="B852" s="469"/>
      <c r="C852" s="468"/>
      <c r="D852" s="468"/>
      <c r="E852" s="323"/>
      <c r="F852" s="323"/>
      <c r="G852" s="780"/>
      <c r="H852" s="469"/>
      <c r="I852" s="780"/>
      <c r="J852" s="713"/>
      <c r="K852" s="468"/>
      <c r="L852" s="469"/>
    </row>
    <row r="853" spans="1:12" s="315" customFormat="1" x14ac:dyDescent="0.25">
      <c r="A853" s="752"/>
      <c r="B853" s="469"/>
      <c r="C853" s="468"/>
      <c r="D853" s="468"/>
      <c r="E853" s="323"/>
      <c r="F853" s="323"/>
      <c r="G853" s="780"/>
      <c r="H853" s="469"/>
      <c r="I853" s="780"/>
      <c r="J853" s="713"/>
      <c r="K853" s="468"/>
      <c r="L853" s="469"/>
    </row>
    <row r="854" spans="1:12" s="315" customFormat="1" x14ac:dyDescent="0.25">
      <c r="A854" s="752"/>
      <c r="B854" s="469"/>
      <c r="C854" s="468"/>
      <c r="D854" s="468"/>
      <c r="E854" s="323"/>
      <c r="F854" s="323"/>
      <c r="G854" s="780"/>
      <c r="H854" s="469"/>
      <c r="I854" s="780"/>
      <c r="J854" s="713"/>
      <c r="K854" s="468"/>
      <c r="L854" s="469"/>
    </row>
    <row r="855" spans="1:12" s="315" customFormat="1" x14ac:dyDescent="0.25">
      <c r="A855" s="752"/>
      <c r="B855" s="469"/>
      <c r="C855" s="468"/>
      <c r="D855" s="468"/>
      <c r="E855" s="323"/>
      <c r="F855" s="323"/>
      <c r="G855" s="780"/>
      <c r="H855" s="469"/>
      <c r="I855" s="780"/>
      <c r="J855" s="713"/>
      <c r="K855" s="468"/>
      <c r="L855" s="469"/>
    </row>
    <row r="856" spans="1:12" s="315" customFormat="1" x14ac:dyDescent="0.25">
      <c r="A856" s="752"/>
      <c r="B856" s="469"/>
      <c r="C856" s="468"/>
      <c r="D856" s="468"/>
      <c r="E856" s="323"/>
      <c r="F856" s="323"/>
      <c r="G856" s="780"/>
      <c r="H856" s="469"/>
      <c r="I856" s="780"/>
      <c r="J856" s="713"/>
      <c r="K856" s="468"/>
      <c r="L856" s="469"/>
    </row>
    <row r="857" spans="1:12" s="315" customFormat="1" x14ac:dyDescent="0.25">
      <c r="A857" s="752"/>
      <c r="B857" s="469"/>
      <c r="C857" s="468"/>
      <c r="D857" s="468"/>
      <c r="E857" s="323"/>
      <c r="F857" s="323"/>
      <c r="G857" s="780"/>
      <c r="H857" s="469"/>
      <c r="I857" s="780"/>
      <c r="J857" s="713"/>
      <c r="K857" s="468"/>
      <c r="L857" s="469"/>
    </row>
    <row r="858" spans="1:12" s="315" customFormat="1" x14ac:dyDescent="0.25">
      <c r="A858" s="752"/>
      <c r="B858" s="469"/>
      <c r="C858" s="468"/>
      <c r="D858" s="468"/>
      <c r="E858" s="323"/>
      <c r="F858" s="323"/>
      <c r="G858" s="780"/>
      <c r="H858" s="469"/>
      <c r="I858" s="780"/>
      <c r="J858" s="713"/>
      <c r="K858" s="468"/>
      <c r="L858" s="469"/>
    </row>
    <row r="859" spans="1:12" s="315" customFormat="1" x14ac:dyDescent="0.25">
      <c r="A859" s="752"/>
      <c r="B859" s="469"/>
      <c r="C859" s="468"/>
      <c r="D859" s="468"/>
      <c r="E859" s="323"/>
      <c r="F859" s="323"/>
      <c r="G859" s="780"/>
      <c r="H859" s="469"/>
      <c r="I859" s="780"/>
      <c r="J859" s="713"/>
      <c r="K859" s="468"/>
      <c r="L859" s="469"/>
    </row>
    <row r="860" spans="1:12" s="315" customFormat="1" x14ac:dyDescent="0.25">
      <c r="A860" s="752"/>
      <c r="B860" s="469"/>
      <c r="C860" s="468"/>
      <c r="D860" s="468"/>
      <c r="E860" s="323"/>
      <c r="F860" s="323"/>
      <c r="G860" s="780"/>
      <c r="H860" s="469"/>
      <c r="I860" s="780"/>
      <c r="J860" s="713"/>
      <c r="K860" s="468"/>
      <c r="L860" s="469"/>
    </row>
    <row r="861" spans="1:12" s="315" customFormat="1" x14ac:dyDescent="0.25">
      <c r="A861" s="752"/>
      <c r="B861" s="469"/>
      <c r="C861" s="468"/>
      <c r="D861" s="468"/>
      <c r="E861" s="323"/>
      <c r="F861" s="323"/>
      <c r="G861" s="780"/>
      <c r="H861" s="469"/>
      <c r="I861" s="780"/>
      <c r="J861" s="713"/>
      <c r="K861" s="468"/>
      <c r="L861" s="469"/>
    </row>
    <row r="862" spans="1:12" s="315" customFormat="1" x14ac:dyDescent="0.25">
      <c r="A862" s="752"/>
      <c r="B862" s="469"/>
      <c r="C862" s="468"/>
      <c r="D862" s="468"/>
      <c r="E862" s="323"/>
      <c r="F862" s="323"/>
      <c r="G862" s="780"/>
      <c r="H862" s="469"/>
      <c r="I862" s="780"/>
      <c r="J862" s="713"/>
      <c r="K862" s="468"/>
      <c r="L862" s="469"/>
    </row>
    <row r="863" spans="1:12" s="315" customFormat="1" x14ac:dyDescent="0.25">
      <c r="A863" s="752"/>
      <c r="B863" s="469"/>
      <c r="C863" s="468"/>
      <c r="D863" s="468"/>
      <c r="E863" s="323"/>
      <c r="F863" s="323"/>
      <c r="G863" s="780"/>
      <c r="H863" s="469"/>
      <c r="I863" s="780"/>
      <c r="J863" s="713"/>
      <c r="K863" s="468"/>
      <c r="L863" s="469"/>
    </row>
    <row r="864" spans="1:12" s="315" customFormat="1" x14ac:dyDescent="0.25">
      <c r="A864" s="752"/>
      <c r="B864" s="469"/>
      <c r="C864" s="468"/>
      <c r="D864" s="468"/>
      <c r="E864" s="323"/>
      <c r="F864" s="323"/>
      <c r="G864" s="780"/>
      <c r="H864" s="469"/>
      <c r="I864" s="780"/>
      <c r="J864" s="713"/>
      <c r="K864" s="468"/>
      <c r="L864" s="469"/>
    </row>
    <row r="865" spans="1:12" s="315" customFormat="1" x14ac:dyDescent="0.25">
      <c r="A865" s="752"/>
      <c r="B865" s="469"/>
      <c r="C865" s="468"/>
      <c r="D865" s="468"/>
      <c r="E865" s="323"/>
      <c r="F865" s="323"/>
      <c r="G865" s="780"/>
      <c r="H865" s="469"/>
      <c r="I865" s="780"/>
      <c r="J865" s="713"/>
      <c r="K865" s="468"/>
      <c r="L865" s="469"/>
    </row>
    <row r="866" spans="1:12" s="315" customFormat="1" x14ac:dyDescent="0.25">
      <c r="A866" s="752"/>
      <c r="B866" s="469"/>
      <c r="C866" s="468"/>
      <c r="D866" s="468"/>
      <c r="E866" s="323"/>
      <c r="F866" s="323"/>
      <c r="G866" s="780"/>
      <c r="H866" s="469"/>
      <c r="I866" s="780"/>
      <c r="J866" s="713"/>
      <c r="K866" s="468"/>
      <c r="L866" s="469"/>
    </row>
    <row r="867" spans="1:12" s="315" customFormat="1" x14ac:dyDescent="0.25">
      <c r="A867" s="752"/>
      <c r="B867" s="469"/>
      <c r="C867" s="468"/>
      <c r="D867" s="468"/>
      <c r="E867" s="323"/>
      <c r="F867" s="323"/>
      <c r="G867" s="780"/>
      <c r="H867" s="469"/>
      <c r="I867" s="780"/>
      <c r="J867" s="713"/>
      <c r="K867" s="468"/>
      <c r="L867" s="469"/>
    </row>
    <row r="868" spans="1:12" s="315" customFormat="1" x14ac:dyDescent="0.25">
      <c r="A868" s="752"/>
      <c r="B868" s="469"/>
      <c r="C868" s="468"/>
      <c r="D868" s="468"/>
      <c r="E868" s="323"/>
      <c r="F868" s="323"/>
      <c r="G868" s="780"/>
      <c r="H868" s="469"/>
      <c r="I868" s="780"/>
      <c r="J868" s="713"/>
      <c r="K868" s="468"/>
      <c r="L868" s="469"/>
    </row>
    <row r="869" spans="1:12" s="315" customFormat="1" x14ac:dyDescent="0.25">
      <c r="A869" s="752"/>
      <c r="B869" s="469"/>
      <c r="C869" s="468"/>
      <c r="D869" s="468"/>
      <c r="E869" s="323"/>
      <c r="F869" s="323"/>
      <c r="G869" s="780"/>
      <c r="H869" s="469"/>
      <c r="I869" s="780"/>
      <c r="J869" s="713"/>
      <c r="K869" s="468"/>
      <c r="L869" s="469"/>
    </row>
    <row r="870" spans="1:12" s="315" customFormat="1" x14ac:dyDescent="0.25">
      <c r="A870" s="752"/>
      <c r="B870" s="469"/>
      <c r="C870" s="468"/>
      <c r="D870" s="468"/>
      <c r="E870" s="323"/>
      <c r="F870" s="323"/>
      <c r="G870" s="780"/>
      <c r="H870" s="469"/>
      <c r="I870" s="780"/>
      <c r="J870" s="713"/>
      <c r="K870" s="468"/>
      <c r="L870" s="469"/>
    </row>
    <row r="871" spans="1:12" s="315" customFormat="1" x14ac:dyDescent="0.25">
      <c r="A871" s="752"/>
      <c r="B871" s="469"/>
      <c r="C871" s="468"/>
      <c r="D871" s="468"/>
      <c r="E871" s="323"/>
      <c r="F871" s="323"/>
      <c r="G871" s="780"/>
      <c r="H871" s="469"/>
      <c r="I871" s="780"/>
      <c r="J871" s="713"/>
      <c r="K871" s="468"/>
      <c r="L871" s="469"/>
    </row>
    <row r="872" spans="1:12" s="315" customFormat="1" x14ac:dyDescent="0.25">
      <c r="A872" s="752"/>
      <c r="B872" s="469"/>
      <c r="C872" s="468"/>
      <c r="D872" s="468"/>
      <c r="E872" s="323"/>
      <c r="F872" s="323"/>
      <c r="G872" s="780"/>
      <c r="H872" s="469"/>
      <c r="I872" s="780"/>
      <c r="J872" s="713"/>
      <c r="K872" s="468"/>
      <c r="L872" s="469"/>
    </row>
    <row r="873" spans="1:12" s="315" customFormat="1" x14ac:dyDescent="0.25">
      <c r="A873" s="752"/>
      <c r="B873" s="469"/>
      <c r="C873" s="468"/>
      <c r="D873" s="468"/>
      <c r="E873" s="323"/>
      <c r="F873" s="323"/>
      <c r="G873" s="780"/>
      <c r="H873" s="469"/>
      <c r="I873" s="780"/>
      <c r="J873" s="713"/>
      <c r="K873" s="468"/>
      <c r="L873" s="469"/>
    </row>
    <row r="874" spans="1:12" s="315" customFormat="1" x14ac:dyDescent="0.25">
      <c r="A874" s="752"/>
      <c r="B874" s="469"/>
      <c r="C874" s="468"/>
      <c r="D874" s="468"/>
      <c r="E874" s="323"/>
      <c r="F874" s="323"/>
      <c r="G874" s="780"/>
      <c r="H874" s="469"/>
      <c r="I874" s="780"/>
      <c r="J874" s="713"/>
      <c r="K874" s="468"/>
      <c r="L874" s="469"/>
    </row>
    <row r="875" spans="1:12" s="315" customFormat="1" x14ac:dyDescent="0.25">
      <c r="A875" s="752"/>
      <c r="B875" s="469"/>
      <c r="C875" s="468"/>
      <c r="D875" s="468"/>
      <c r="E875" s="323"/>
      <c r="F875" s="323"/>
      <c r="G875" s="780"/>
      <c r="H875" s="469"/>
      <c r="I875" s="780"/>
      <c r="J875" s="713"/>
      <c r="K875" s="468"/>
      <c r="L875" s="469"/>
    </row>
    <row r="876" spans="1:12" s="315" customFormat="1" x14ac:dyDescent="0.25">
      <c r="A876" s="752"/>
      <c r="B876" s="469"/>
      <c r="C876" s="468"/>
      <c r="D876" s="468"/>
      <c r="E876" s="323"/>
      <c r="F876" s="323"/>
      <c r="G876" s="780"/>
      <c r="H876" s="469"/>
      <c r="I876" s="780"/>
      <c r="J876" s="713"/>
      <c r="K876" s="468"/>
      <c r="L876" s="469"/>
    </row>
    <row r="877" spans="1:12" s="315" customFormat="1" x14ac:dyDescent="0.25">
      <c r="A877" s="752"/>
      <c r="B877" s="469"/>
      <c r="C877" s="468"/>
      <c r="D877" s="468"/>
      <c r="E877" s="323"/>
      <c r="F877" s="323"/>
      <c r="G877" s="780"/>
      <c r="H877" s="469"/>
      <c r="I877" s="780"/>
      <c r="J877" s="713"/>
      <c r="K877" s="468"/>
      <c r="L877" s="469"/>
    </row>
    <row r="878" spans="1:12" s="315" customFormat="1" x14ac:dyDescent="0.25">
      <c r="A878" s="752"/>
      <c r="B878" s="469"/>
      <c r="C878" s="468"/>
      <c r="D878" s="468"/>
      <c r="E878" s="323"/>
      <c r="F878" s="323"/>
      <c r="G878" s="780"/>
      <c r="H878" s="469"/>
      <c r="I878" s="780"/>
      <c r="J878" s="713"/>
      <c r="K878" s="468"/>
      <c r="L878" s="469"/>
    </row>
    <row r="879" spans="1:12" s="315" customFormat="1" x14ac:dyDescent="0.25">
      <c r="A879" s="752"/>
      <c r="B879" s="469"/>
      <c r="C879" s="468"/>
      <c r="D879" s="468"/>
      <c r="E879" s="323"/>
      <c r="F879" s="323"/>
      <c r="G879" s="780"/>
      <c r="H879" s="469"/>
      <c r="I879" s="780"/>
      <c r="J879" s="713"/>
      <c r="K879" s="468"/>
      <c r="L879" s="469"/>
    </row>
    <row r="880" spans="1:12" s="315" customFormat="1" x14ac:dyDescent="0.25">
      <c r="A880" s="752"/>
      <c r="B880" s="469"/>
      <c r="C880" s="468"/>
      <c r="D880" s="468"/>
      <c r="E880" s="323"/>
      <c r="F880" s="323"/>
      <c r="G880" s="780"/>
      <c r="H880" s="469"/>
      <c r="I880" s="780"/>
      <c r="J880" s="713"/>
      <c r="K880" s="468"/>
      <c r="L880" s="469"/>
    </row>
    <row r="881" spans="1:12" s="315" customFormat="1" x14ac:dyDescent="0.25">
      <c r="A881" s="752"/>
      <c r="B881" s="469"/>
      <c r="C881" s="468"/>
      <c r="D881" s="468"/>
      <c r="E881" s="323"/>
      <c r="F881" s="323"/>
      <c r="G881" s="780"/>
      <c r="H881" s="469"/>
      <c r="I881" s="780"/>
      <c r="J881" s="713"/>
      <c r="K881" s="468"/>
      <c r="L881" s="469"/>
    </row>
    <row r="882" spans="1:12" s="315" customFormat="1" x14ac:dyDescent="0.25">
      <c r="A882" s="752"/>
      <c r="B882" s="469"/>
      <c r="C882" s="468"/>
      <c r="D882" s="468"/>
      <c r="E882" s="323"/>
      <c r="F882" s="323"/>
      <c r="G882" s="780"/>
      <c r="H882" s="469"/>
      <c r="I882" s="780"/>
      <c r="J882" s="713"/>
      <c r="K882" s="468"/>
      <c r="L882" s="469"/>
    </row>
    <row r="883" spans="1:12" s="315" customFormat="1" x14ac:dyDescent="0.25">
      <c r="A883" s="752"/>
      <c r="B883" s="469"/>
      <c r="C883" s="468"/>
      <c r="D883" s="468"/>
      <c r="E883" s="323"/>
      <c r="F883" s="323"/>
      <c r="G883" s="780"/>
      <c r="H883" s="469"/>
      <c r="I883" s="780"/>
      <c r="J883" s="713"/>
      <c r="K883" s="468"/>
      <c r="L883" s="469"/>
    </row>
    <row r="884" spans="1:12" s="315" customFormat="1" x14ac:dyDescent="0.25">
      <c r="A884" s="752"/>
      <c r="B884" s="469"/>
      <c r="C884" s="468"/>
      <c r="D884" s="468"/>
      <c r="E884" s="323"/>
      <c r="F884" s="323"/>
      <c r="G884" s="780"/>
      <c r="H884" s="469"/>
      <c r="I884" s="780"/>
      <c r="J884" s="713"/>
      <c r="K884" s="468"/>
      <c r="L884" s="469"/>
    </row>
    <row r="885" spans="1:12" s="315" customFormat="1" x14ac:dyDescent="0.25">
      <c r="A885" s="752"/>
      <c r="B885" s="469"/>
      <c r="C885" s="468"/>
      <c r="D885" s="468"/>
      <c r="E885" s="323"/>
      <c r="F885" s="323"/>
      <c r="G885" s="780"/>
      <c r="H885" s="469"/>
      <c r="I885" s="780"/>
      <c r="J885" s="713"/>
      <c r="K885" s="468"/>
      <c r="L885" s="469"/>
    </row>
    <row r="886" spans="1:12" s="315" customFormat="1" x14ac:dyDescent="0.25">
      <c r="A886" s="752"/>
      <c r="B886" s="469"/>
      <c r="C886" s="468"/>
      <c r="D886" s="468"/>
      <c r="E886" s="323"/>
      <c r="F886" s="323"/>
      <c r="G886" s="780"/>
      <c r="H886" s="469"/>
      <c r="I886" s="780"/>
      <c r="J886" s="713"/>
      <c r="K886" s="468"/>
      <c r="L886" s="469"/>
    </row>
    <row r="887" spans="1:12" s="315" customFormat="1" x14ac:dyDescent="0.25">
      <c r="A887" s="752"/>
      <c r="B887" s="469"/>
      <c r="C887" s="468"/>
      <c r="D887" s="468"/>
      <c r="E887" s="323"/>
      <c r="F887" s="323"/>
      <c r="G887" s="780"/>
      <c r="H887" s="469"/>
      <c r="I887" s="780"/>
      <c r="J887" s="713"/>
      <c r="K887" s="468"/>
      <c r="L887" s="469"/>
    </row>
    <row r="888" spans="1:12" s="315" customFormat="1" x14ac:dyDescent="0.25">
      <c r="A888" s="752"/>
      <c r="B888" s="469"/>
      <c r="C888" s="468"/>
      <c r="D888" s="468"/>
      <c r="E888" s="323"/>
      <c r="F888" s="323"/>
      <c r="G888" s="780"/>
      <c r="H888" s="469"/>
      <c r="I888" s="780"/>
      <c r="J888" s="713"/>
      <c r="K888" s="468"/>
      <c r="L888" s="469"/>
    </row>
    <row r="889" spans="1:12" s="315" customFormat="1" x14ac:dyDescent="0.25">
      <c r="A889" s="752"/>
      <c r="B889" s="469"/>
      <c r="C889" s="468"/>
      <c r="D889" s="468"/>
      <c r="E889" s="323"/>
      <c r="F889" s="323"/>
      <c r="G889" s="780"/>
      <c r="H889" s="469"/>
      <c r="I889" s="780"/>
      <c r="J889" s="713"/>
      <c r="K889" s="468"/>
      <c r="L889" s="469"/>
    </row>
    <row r="890" spans="1:12" s="315" customFormat="1" x14ac:dyDescent="0.25">
      <c r="A890" s="752"/>
      <c r="B890" s="469"/>
      <c r="C890" s="468"/>
      <c r="D890" s="468"/>
      <c r="E890" s="323"/>
      <c r="F890" s="323"/>
      <c r="G890" s="780"/>
      <c r="H890" s="469"/>
      <c r="I890" s="780"/>
      <c r="J890" s="713"/>
      <c r="K890" s="468"/>
      <c r="L890" s="469"/>
    </row>
    <row r="891" spans="1:12" s="315" customFormat="1" x14ac:dyDescent="0.25">
      <c r="A891" s="752"/>
      <c r="B891" s="469"/>
      <c r="C891" s="468"/>
      <c r="D891" s="468"/>
      <c r="E891" s="323"/>
      <c r="F891" s="323"/>
      <c r="G891" s="780"/>
      <c r="H891" s="469"/>
      <c r="I891" s="780"/>
      <c r="J891" s="713"/>
      <c r="K891" s="468"/>
      <c r="L891" s="469"/>
    </row>
    <row r="892" spans="1:12" s="315" customFormat="1" x14ac:dyDescent="0.25">
      <c r="A892" s="752"/>
      <c r="B892" s="469"/>
      <c r="C892" s="468"/>
      <c r="D892" s="468"/>
      <c r="E892" s="323"/>
      <c r="F892" s="323"/>
      <c r="G892" s="780"/>
      <c r="H892" s="469"/>
      <c r="I892" s="780"/>
      <c r="J892" s="713"/>
      <c r="K892" s="468"/>
      <c r="L892" s="469"/>
    </row>
    <row r="893" spans="1:12" s="315" customFormat="1" x14ac:dyDescent="0.25">
      <c r="A893" s="752"/>
      <c r="B893" s="469"/>
      <c r="C893" s="468"/>
      <c r="D893" s="468"/>
      <c r="E893" s="323"/>
      <c r="F893" s="323"/>
      <c r="G893" s="780"/>
      <c r="H893" s="760"/>
      <c r="I893" s="780"/>
      <c r="J893" s="713"/>
      <c r="K893" s="468"/>
      <c r="L893" s="469"/>
    </row>
    <row r="894" spans="1:12" s="315" customFormat="1" x14ac:dyDescent="0.25">
      <c r="A894" s="752"/>
      <c r="B894" s="469"/>
      <c r="C894" s="468"/>
      <c r="D894" s="468"/>
      <c r="E894" s="323"/>
      <c r="F894" s="323"/>
      <c r="G894" s="780"/>
      <c r="H894" s="760"/>
      <c r="I894" s="780"/>
      <c r="J894" s="713"/>
      <c r="K894" s="468"/>
      <c r="L894" s="469"/>
    </row>
    <row r="895" spans="1:12" s="315" customFormat="1" x14ac:dyDescent="0.25">
      <c r="A895" s="752"/>
      <c r="B895" s="469"/>
      <c r="C895" s="468"/>
      <c r="D895" s="468"/>
      <c r="E895" s="323"/>
      <c r="F895" s="323"/>
      <c r="G895" s="780"/>
      <c r="H895" s="760"/>
      <c r="I895" s="780"/>
      <c r="J895" s="713"/>
      <c r="K895" s="468"/>
      <c r="L895" s="469"/>
    </row>
    <row r="896" spans="1:12" s="315" customFormat="1" x14ac:dyDescent="0.25">
      <c r="A896" s="752"/>
      <c r="B896" s="469"/>
      <c r="C896" s="468"/>
      <c r="D896" s="468"/>
      <c r="E896" s="323"/>
      <c r="F896" s="323"/>
      <c r="G896" s="780"/>
      <c r="H896" s="760"/>
      <c r="I896" s="780"/>
      <c r="J896" s="713"/>
      <c r="K896" s="468"/>
      <c r="L896" s="469"/>
    </row>
    <row r="897" spans="1:12" s="315" customFormat="1" x14ac:dyDescent="0.25">
      <c r="A897" s="752"/>
      <c r="B897" s="469"/>
      <c r="C897" s="468"/>
      <c r="D897" s="468"/>
      <c r="E897" s="323"/>
      <c r="F897" s="323"/>
      <c r="G897" s="780"/>
      <c r="H897" s="760"/>
      <c r="I897" s="780"/>
      <c r="J897" s="713"/>
      <c r="K897" s="468"/>
      <c r="L897" s="469"/>
    </row>
    <row r="898" spans="1:12" s="315" customFormat="1" x14ac:dyDescent="0.25">
      <c r="A898" s="752"/>
      <c r="B898" s="469"/>
      <c r="C898" s="468"/>
      <c r="D898" s="468"/>
      <c r="E898" s="323"/>
      <c r="F898" s="323"/>
      <c r="G898" s="780"/>
      <c r="H898" s="760"/>
      <c r="I898" s="780"/>
      <c r="J898" s="713"/>
      <c r="K898" s="468"/>
      <c r="L898" s="469"/>
    </row>
    <row r="899" spans="1:12" s="315" customFormat="1" x14ac:dyDescent="0.25">
      <c r="A899" s="752"/>
      <c r="B899" s="469"/>
      <c r="C899" s="468"/>
      <c r="D899" s="468"/>
      <c r="E899" s="323"/>
      <c r="F899" s="323"/>
      <c r="G899" s="780"/>
      <c r="H899" s="760"/>
      <c r="I899" s="780"/>
      <c r="J899" s="713"/>
      <c r="K899" s="468"/>
      <c r="L899" s="469"/>
    </row>
    <row r="900" spans="1:12" s="315" customFormat="1" x14ac:dyDescent="0.25">
      <c r="A900" s="752"/>
      <c r="B900" s="469"/>
      <c r="C900" s="468"/>
      <c r="D900" s="468"/>
      <c r="E900" s="323"/>
      <c r="F900" s="323"/>
      <c r="G900" s="780"/>
      <c r="H900" s="760"/>
      <c r="I900" s="780"/>
      <c r="J900" s="713"/>
      <c r="K900" s="468"/>
      <c r="L900" s="469"/>
    </row>
    <row r="901" spans="1:12" s="315" customFormat="1" x14ac:dyDescent="0.25">
      <c r="A901" s="752"/>
      <c r="B901" s="469"/>
      <c r="C901" s="468"/>
      <c r="D901" s="468"/>
      <c r="E901" s="323"/>
      <c r="F901" s="323"/>
      <c r="G901" s="780"/>
      <c r="H901" s="760"/>
      <c r="I901" s="780"/>
      <c r="J901" s="713"/>
      <c r="K901" s="468"/>
      <c r="L901" s="469"/>
    </row>
    <row r="902" spans="1:12" s="315" customFormat="1" x14ac:dyDescent="0.25">
      <c r="A902" s="752"/>
      <c r="B902" s="469"/>
      <c r="C902" s="468"/>
      <c r="D902" s="468"/>
      <c r="E902" s="323"/>
      <c r="F902" s="323"/>
      <c r="G902" s="780"/>
      <c r="H902" s="760"/>
      <c r="I902" s="780"/>
      <c r="J902" s="713"/>
      <c r="K902" s="468"/>
      <c r="L902" s="469"/>
    </row>
    <row r="903" spans="1:12" s="315" customFormat="1" x14ac:dyDescent="0.25">
      <c r="A903" s="752"/>
      <c r="B903" s="469"/>
      <c r="C903" s="468"/>
      <c r="D903" s="468"/>
      <c r="E903" s="323"/>
      <c r="F903" s="323"/>
      <c r="G903" s="780"/>
      <c r="H903" s="760"/>
      <c r="I903" s="780"/>
      <c r="J903" s="713"/>
      <c r="K903" s="468"/>
      <c r="L903" s="469"/>
    </row>
    <row r="904" spans="1:12" s="315" customFormat="1" x14ac:dyDescent="0.25">
      <c r="A904" s="752"/>
      <c r="B904" s="469"/>
      <c r="C904" s="468"/>
      <c r="D904" s="468"/>
      <c r="E904" s="323"/>
      <c r="F904" s="323"/>
      <c r="G904" s="780"/>
      <c r="H904" s="760"/>
      <c r="I904" s="780"/>
      <c r="J904" s="713"/>
      <c r="K904" s="468"/>
      <c r="L904" s="469"/>
    </row>
    <row r="905" spans="1:12" s="315" customFormat="1" x14ac:dyDescent="0.25">
      <c r="A905" s="752"/>
      <c r="B905" s="469"/>
      <c r="C905" s="468"/>
      <c r="D905" s="468"/>
      <c r="E905" s="323"/>
      <c r="F905" s="323"/>
      <c r="G905" s="780"/>
      <c r="H905" s="760"/>
      <c r="I905" s="780"/>
      <c r="J905" s="713"/>
      <c r="K905" s="468"/>
      <c r="L905" s="469"/>
    </row>
    <row r="906" spans="1:12" s="315" customFormat="1" x14ac:dyDescent="0.25">
      <c r="A906" s="752"/>
      <c r="B906" s="469"/>
      <c r="C906" s="468"/>
      <c r="D906" s="468"/>
      <c r="E906" s="323"/>
      <c r="F906" s="323"/>
      <c r="G906" s="780"/>
      <c r="H906" s="760"/>
      <c r="I906" s="780"/>
      <c r="J906" s="713"/>
      <c r="K906" s="468"/>
      <c r="L906" s="469"/>
    </row>
    <row r="907" spans="1:12" s="315" customFormat="1" x14ac:dyDescent="0.25">
      <c r="A907" s="752"/>
      <c r="B907" s="469"/>
      <c r="C907" s="468"/>
      <c r="D907" s="468"/>
      <c r="E907" s="323"/>
      <c r="F907" s="323"/>
      <c r="G907" s="780"/>
      <c r="H907" s="760"/>
      <c r="I907" s="780"/>
      <c r="J907" s="713"/>
      <c r="K907" s="468"/>
      <c r="L907" s="469"/>
    </row>
    <row r="908" spans="1:12" s="315" customFormat="1" x14ac:dyDescent="0.25">
      <c r="A908" s="752"/>
      <c r="B908" s="469"/>
      <c r="C908" s="468"/>
      <c r="D908" s="468"/>
      <c r="E908" s="323"/>
      <c r="F908" s="323"/>
      <c r="G908" s="780"/>
      <c r="H908" s="760"/>
      <c r="I908" s="780"/>
      <c r="J908" s="713"/>
      <c r="K908" s="468"/>
      <c r="L908" s="469"/>
    </row>
    <row r="909" spans="1:12" s="315" customFormat="1" x14ac:dyDescent="0.25">
      <c r="A909" s="752"/>
      <c r="B909" s="469"/>
      <c r="C909" s="468"/>
      <c r="D909" s="468"/>
      <c r="E909" s="323"/>
      <c r="F909" s="323"/>
      <c r="G909" s="780"/>
      <c r="H909" s="760"/>
      <c r="I909" s="780"/>
      <c r="J909" s="713"/>
      <c r="K909" s="468"/>
      <c r="L909" s="469"/>
    </row>
    <row r="910" spans="1:12" s="315" customFormat="1" x14ac:dyDescent="0.25">
      <c r="A910" s="752"/>
      <c r="B910" s="469"/>
      <c r="C910" s="468"/>
      <c r="D910" s="468"/>
      <c r="E910" s="323"/>
      <c r="F910" s="323"/>
      <c r="G910" s="780"/>
      <c r="H910" s="760"/>
      <c r="I910" s="780"/>
      <c r="J910" s="713"/>
      <c r="K910" s="468"/>
      <c r="L910" s="469"/>
    </row>
    <row r="911" spans="1:12" s="315" customFormat="1" x14ac:dyDescent="0.25">
      <c r="A911" s="752"/>
      <c r="B911" s="469"/>
      <c r="C911" s="468"/>
      <c r="D911" s="468"/>
      <c r="E911" s="323"/>
      <c r="F911" s="323"/>
      <c r="G911" s="780"/>
      <c r="H911" s="760"/>
      <c r="I911" s="780"/>
      <c r="J911" s="713"/>
      <c r="K911" s="468"/>
      <c r="L911" s="469"/>
    </row>
    <row r="912" spans="1:12" s="315" customFormat="1" x14ac:dyDescent="0.25">
      <c r="A912" s="752"/>
      <c r="B912" s="469"/>
      <c r="C912" s="468"/>
      <c r="D912" s="468"/>
      <c r="E912" s="323"/>
      <c r="F912" s="323"/>
      <c r="G912" s="780"/>
      <c r="H912" s="760"/>
      <c r="I912" s="780"/>
      <c r="J912" s="713"/>
      <c r="K912" s="468"/>
      <c r="L912" s="469"/>
    </row>
    <row r="913" spans="1:12" s="315" customFormat="1" x14ac:dyDescent="0.25">
      <c r="A913" s="752"/>
      <c r="B913" s="469"/>
      <c r="C913" s="468"/>
      <c r="D913" s="468"/>
      <c r="E913" s="323"/>
      <c r="F913" s="323"/>
      <c r="G913" s="780"/>
      <c r="H913" s="760"/>
      <c r="I913" s="780"/>
      <c r="J913" s="713"/>
      <c r="K913" s="468"/>
      <c r="L913" s="469"/>
    </row>
    <row r="914" spans="1:12" s="315" customFormat="1" x14ac:dyDescent="0.25">
      <c r="A914" s="752"/>
      <c r="B914" s="469"/>
      <c r="C914" s="468"/>
      <c r="D914" s="468"/>
      <c r="E914" s="323"/>
      <c r="F914" s="323"/>
      <c r="G914" s="780"/>
      <c r="H914" s="760"/>
      <c r="I914" s="780"/>
      <c r="J914" s="713"/>
      <c r="K914" s="468"/>
      <c r="L914" s="469"/>
    </row>
    <row r="915" spans="1:12" s="315" customFormat="1" x14ac:dyDescent="0.25">
      <c r="A915" s="752"/>
      <c r="B915" s="469"/>
      <c r="C915" s="468"/>
      <c r="D915" s="468"/>
      <c r="E915" s="323"/>
      <c r="F915" s="323"/>
      <c r="G915" s="780"/>
      <c r="H915" s="760"/>
      <c r="I915" s="780"/>
      <c r="J915" s="713"/>
      <c r="K915" s="468"/>
      <c r="L915" s="469"/>
    </row>
    <row r="916" spans="1:12" s="315" customFormat="1" x14ac:dyDescent="0.25">
      <c r="A916" s="752"/>
      <c r="B916" s="469"/>
      <c r="C916" s="468"/>
      <c r="D916" s="468"/>
      <c r="E916" s="323"/>
      <c r="F916" s="323"/>
      <c r="G916" s="780"/>
      <c r="H916" s="760"/>
      <c r="I916" s="780"/>
      <c r="J916" s="713"/>
      <c r="K916" s="468"/>
      <c r="L916" s="469"/>
    </row>
    <row r="917" spans="1:12" s="315" customFormat="1" x14ac:dyDescent="0.25">
      <c r="A917" s="752"/>
      <c r="B917" s="469"/>
      <c r="C917" s="468"/>
      <c r="D917" s="468"/>
      <c r="E917" s="323"/>
      <c r="F917" s="323"/>
      <c r="G917" s="780"/>
      <c r="H917" s="760"/>
      <c r="I917" s="780"/>
      <c r="J917" s="713"/>
      <c r="K917" s="468"/>
      <c r="L917" s="469"/>
    </row>
    <row r="918" spans="1:12" s="315" customFormat="1" x14ac:dyDescent="0.25">
      <c r="A918" s="752"/>
      <c r="B918" s="469"/>
      <c r="C918" s="468"/>
      <c r="D918" s="468"/>
      <c r="E918" s="323"/>
      <c r="F918" s="323"/>
      <c r="G918" s="780"/>
      <c r="H918" s="760"/>
      <c r="I918" s="780"/>
      <c r="J918" s="713"/>
      <c r="K918" s="468"/>
      <c r="L918" s="469"/>
    </row>
    <row r="919" spans="1:12" s="315" customFormat="1" x14ac:dyDescent="0.25">
      <c r="A919" s="752"/>
      <c r="B919" s="469"/>
      <c r="C919" s="468"/>
      <c r="D919" s="468"/>
      <c r="E919" s="323"/>
      <c r="F919" s="323"/>
      <c r="G919" s="780"/>
      <c r="H919" s="760"/>
      <c r="I919" s="780"/>
      <c r="J919" s="713"/>
      <c r="K919" s="468"/>
      <c r="L919" s="469"/>
    </row>
    <row r="920" spans="1:12" s="315" customFormat="1" x14ac:dyDescent="0.25">
      <c r="A920" s="752"/>
      <c r="B920" s="469"/>
      <c r="C920" s="468"/>
      <c r="D920" s="468"/>
      <c r="E920" s="323"/>
      <c r="F920" s="323"/>
      <c r="G920" s="780"/>
      <c r="H920" s="760"/>
      <c r="I920" s="780"/>
      <c r="J920" s="713"/>
      <c r="K920" s="468"/>
      <c r="L920" s="469"/>
    </row>
    <row r="921" spans="1:12" s="315" customFormat="1" x14ac:dyDescent="0.25">
      <c r="A921" s="752"/>
      <c r="B921" s="469"/>
      <c r="C921" s="468"/>
      <c r="D921" s="468"/>
      <c r="E921" s="323"/>
      <c r="F921" s="323"/>
      <c r="G921" s="780"/>
      <c r="H921" s="760"/>
      <c r="I921" s="780"/>
      <c r="J921" s="713"/>
      <c r="K921" s="468"/>
      <c r="L921" s="469"/>
    </row>
    <row r="922" spans="1:12" s="315" customFormat="1" x14ac:dyDescent="0.25">
      <c r="A922" s="752"/>
      <c r="B922" s="469"/>
      <c r="C922" s="468"/>
      <c r="D922" s="468"/>
      <c r="E922" s="323"/>
      <c r="F922" s="323"/>
      <c r="G922" s="780"/>
      <c r="H922" s="760"/>
      <c r="I922" s="780"/>
      <c r="J922" s="713"/>
      <c r="K922" s="468"/>
      <c r="L922" s="469"/>
    </row>
    <row r="923" spans="1:12" s="315" customFormat="1" x14ac:dyDescent="0.25">
      <c r="A923" s="752"/>
      <c r="B923" s="469"/>
      <c r="C923" s="468"/>
      <c r="D923" s="468"/>
      <c r="E923" s="323"/>
      <c r="F923" s="323"/>
      <c r="G923" s="780"/>
      <c r="H923" s="760"/>
      <c r="I923" s="780"/>
      <c r="J923" s="713"/>
      <c r="K923" s="468"/>
      <c r="L923" s="469"/>
    </row>
    <row r="924" spans="1:12" s="315" customFormat="1" x14ac:dyDescent="0.25">
      <c r="A924" s="752"/>
      <c r="B924" s="469"/>
      <c r="C924" s="468"/>
      <c r="D924" s="468"/>
      <c r="E924" s="323"/>
      <c r="F924" s="323"/>
      <c r="G924" s="780"/>
      <c r="H924" s="760"/>
      <c r="I924" s="780"/>
      <c r="J924" s="713"/>
      <c r="K924" s="468"/>
      <c r="L924" s="469"/>
    </row>
    <row r="925" spans="1:12" s="315" customFormat="1" x14ac:dyDescent="0.25">
      <c r="A925" s="752"/>
      <c r="B925" s="469"/>
      <c r="C925" s="468"/>
      <c r="D925" s="468"/>
      <c r="E925" s="323"/>
      <c r="F925" s="323"/>
      <c r="G925" s="780"/>
      <c r="H925" s="760"/>
      <c r="I925" s="780"/>
      <c r="J925" s="713"/>
      <c r="K925" s="468"/>
      <c r="L925" s="469"/>
    </row>
    <row r="926" spans="1:12" s="315" customFormat="1" x14ac:dyDescent="0.25">
      <c r="A926" s="752"/>
      <c r="B926" s="469"/>
      <c r="C926" s="468"/>
      <c r="D926" s="468"/>
      <c r="E926" s="323"/>
      <c r="F926" s="323"/>
      <c r="G926" s="780"/>
      <c r="H926" s="760"/>
      <c r="I926" s="780"/>
      <c r="J926" s="713"/>
      <c r="K926" s="468"/>
      <c r="L926" s="469"/>
    </row>
    <row r="927" spans="1:12" s="315" customFormat="1" x14ac:dyDescent="0.25">
      <c r="A927" s="752"/>
      <c r="B927" s="469"/>
      <c r="C927" s="468"/>
      <c r="D927" s="468"/>
      <c r="E927" s="323"/>
      <c r="F927" s="323"/>
      <c r="G927" s="780"/>
      <c r="H927" s="760"/>
      <c r="I927" s="780"/>
      <c r="J927" s="713"/>
      <c r="K927" s="468"/>
      <c r="L927" s="469"/>
    </row>
    <row r="928" spans="1:12" s="315" customFormat="1" x14ac:dyDescent="0.25">
      <c r="A928" s="752"/>
      <c r="B928" s="469"/>
      <c r="C928" s="468"/>
      <c r="D928" s="468"/>
      <c r="E928" s="323"/>
      <c r="F928" s="323"/>
      <c r="G928" s="780"/>
      <c r="H928" s="760"/>
      <c r="I928" s="780"/>
      <c r="J928" s="713"/>
      <c r="K928" s="468"/>
      <c r="L928" s="469"/>
    </row>
    <row r="929" spans="1:12" s="315" customFormat="1" x14ac:dyDescent="0.25">
      <c r="A929" s="752"/>
      <c r="B929" s="469"/>
      <c r="C929" s="468"/>
      <c r="D929" s="468"/>
      <c r="E929" s="323"/>
      <c r="F929" s="323"/>
      <c r="G929" s="780"/>
      <c r="H929" s="760"/>
      <c r="I929" s="780"/>
      <c r="J929" s="713"/>
      <c r="K929" s="468"/>
      <c r="L929" s="469"/>
    </row>
    <row r="930" spans="1:12" s="315" customFormat="1" x14ac:dyDescent="0.25">
      <c r="A930" s="752"/>
      <c r="B930" s="469"/>
      <c r="C930" s="468"/>
      <c r="D930" s="468"/>
      <c r="E930" s="323"/>
      <c r="F930" s="323"/>
      <c r="G930" s="780"/>
      <c r="H930" s="760"/>
      <c r="I930" s="780"/>
      <c r="J930" s="713"/>
      <c r="K930" s="468"/>
      <c r="L930" s="469"/>
    </row>
    <row r="931" spans="1:12" s="315" customFormat="1" x14ac:dyDescent="0.25">
      <c r="A931" s="752"/>
      <c r="B931" s="469"/>
      <c r="C931" s="468"/>
      <c r="D931" s="468"/>
      <c r="E931" s="323"/>
      <c r="F931" s="323"/>
      <c r="G931" s="780"/>
      <c r="H931" s="760"/>
      <c r="I931" s="780"/>
      <c r="J931" s="713"/>
      <c r="K931" s="468"/>
      <c r="L931" s="469"/>
    </row>
    <row r="932" spans="1:12" s="315" customFormat="1" x14ac:dyDescent="0.25">
      <c r="A932" s="752"/>
      <c r="B932" s="469"/>
      <c r="C932" s="468"/>
      <c r="D932" s="468"/>
      <c r="E932" s="323"/>
      <c r="F932" s="323"/>
      <c r="G932" s="780"/>
      <c r="H932" s="760"/>
      <c r="I932" s="780"/>
      <c r="J932" s="713"/>
      <c r="K932" s="468"/>
      <c r="L932" s="469"/>
    </row>
    <row r="933" spans="1:12" s="315" customFormat="1" x14ac:dyDescent="0.25">
      <c r="A933" s="752"/>
      <c r="B933" s="469"/>
      <c r="C933" s="468"/>
      <c r="D933" s="468"/>
      <c r="E933" s="323"/>
      <c r="F933" s="323"/>
      <c r="G933" s="780"/>
      <c r="H933" s="760"/>
      <c r="I933" s="780"/>
      <c r="J933" s="713"/>
      <c r="K933" s="468"/>
      <c r="L933" s="469"/>
    </row>
    <row r="934" spans="1:12" s="315" customFormat="1" x14ac:dyDescent="0.25">
      <c r="A934" s="752"/>
      <c r="B934" s="469"/>
      <c r="C934" s="468"/>
      <c r="D934" s="468"/>
      <c r="E934" s="323"/>
      <c r="F934" s="323"/>
      <c r="G934" s="780"/>
      <c r="H934" s="760"/>
      <c r="I934" s="780"/>
      <c r="J934" s="713"/>
      <c r="K934" s="468"/>
      <c r="L934" s="469"/>
    </row>
    <row r="935" spans="1:12" s="315" customFormat="1" x14ac:dyDescent="0.25">
      <c r="A935" s="752"/>
      <c r="B935" s="469"/>
      <c r="C935" s="468"/>
      <c r="D935" s="468"/>
      <c r="E935" s="323"/>
      <c r="F935" s="323"/>
      <c r="G935" s="780"/>
      <c r="H935" s="760"/>
      <c r="I935" s="780"/>
      <c r="J935" s="713"/>
      <c r="K935" s="468"/>
      <c r="L935" s="469"/>
    </row>
    <row r="936" spans="1:12" s="315" customFormat="1" x14ac:dyDescent="0.25">
      <c r="A936" s="752"/>
      <c r="B936" s="469"/>
      <c r="C936" s="468"/>
      <c r="D936" s="468"/>
      <c r="E936" s="323"/>
      <c r="F936" s="323"/>
      <c r="G936" s="780"/>
      <c r="H936" s="760"/>
      <c r="I936" s="780"/>
      <c r="J936" s="713"/>
      <c r="K936" s="468"/>
      <c r="L936" s="469"/>
    </row>
    <row r="937" spans="1:12" s="315" customFormat="1" x14ac:dyDescent="0.25">
      <c r="A937" s="752"/>
      <c r="B937" s="469"/>
      <c r="C937" s="468"/>
      <c r="D937" s="468"/>
      <c r="E937" s="323"/>
      <c r="F937" s="323"/>
      <c r="G937" s="780"/>
      <c r="H937" s="760"/>
      <c r="I937" s="780"/>
      <c r="J937" s="713"/>
      <c r="K937" s="468"/>
      <c r="L937" s="469"/>
    </row>
    <row r="938" spans="1:12" s="315" customFormat="1" x14ac:dyDescent="0.25">
      <c r="A938" s="752"/>
      <c r="B938" s="469"/>
      <c r="C938" s="468"/>
      <c r="D938" s="468"/>
      <c r="E938" s="323"/>
      <c r="F938" s="323"/>
      <c r="G938" s="780"/>
      <c r="H938" s="760"/>
      <c r="I938" s="780"/>
      <c r="J938" s="713"/>
      <c r="K938" s="468"/>
      <c r="L938" s="469"/>
    </row>
    <row r="939" spans="1:12" s="315" customFormat="1" x14ac:dyDescent="0.25">
      <c r="A939" s="752"/>
      <c r="B939" s="469"/>
      <c r="C939" s="468"/>
      <c r="D939" s="468"/>
      <c r="E939" s="323"/>
      <c r="F939" s="323"/>
      <c r="G939" s="780"/>
      <c r="H939" s="760"/>
      <c r="I939" s="780"/>
      <c r="J939" s="713"/>
      <c r="K939" s="468"/>
      <c r="L939" s="469"/>
    </row>
    <row r="940" spans="1:12" s="315" customFormat="1" x14ac:dyDescent="0.25">
      <c r="A940" s="752"/>
      <c r="B940" s="469"/>
      <c r="C940" s="468"/>
      <c r="D940" s="468"/>
      <c r="E940" s="323"/>
      <c r="F940" s="323"/>
      <c r="G940" s="780"/>
      <c r="H940" s="760"/>
      <c r="I940" s="780"/>
      <c r="J940" s="713"/>
      <c r="K940" s="468"/>
      <c r="L940" s="469"/>
    </row>
    <row r="941" spans="1:12" s="315" customFormat="1" x14ac:dyDescent="0.25">
      <c r="A941" s="752"/>
      <c r="B941" s="469"/>
      <c r="C941" s="468"/>
      <c r="D941" s="468"/>
      <c r="E941" s="323"/>
      <c r="F941" s="323"/>
      <c r="G941" s="780"/>
      <c r="H941" s="760"/>
      <c r="I941" s="780"/>
      <c r="J941" s="713"/>
      <c r="K941" s="468"/>
      <c r="L941" s="469"/>
    </row>
    <row r="942" spans="1:12" s="315" customFormat="1" x14ac:dyDescent="0.25">
      <c r="A942" s="752"/>
      <c r="B942" s="469"/>
      <c r="C942" s="468"/>
      <c r="D942" s="468"/>
      <c r="E942" s="323"/>
      <c r="F942" s="323"/>
      <c r="G942" s="780"/>
      <c r="H942" s="760"/>
      <c r="I942" s="780"/>
      <c r="J942" s="713"/>
      <c r="K942" s="468"/>
      <c r="L942" s="469"/>
    </row>
    <row r="943" spans="1:12" s="315" customFormat="1" x14ac:dyDescent="0.25">
      <c r="A943" s="752"/>
      <c r="B943" s="469"/>
      <c r="C943" s="468"/>
      <c r="D943" s="468"/>
      <c r="E943" s="323"/>
      <c r="F943" s="323"/>
      <c r="G943" s="780"/>
      <c r="H943" s="760"/>
      <c r="I943" s="780"/>
      <c r="J943" s="713"/>
      <c r="K943" s="468"/>
      <c r="L943" s="469"/>
    </row>
    <row r="944" spans="1:12" s="315" customFormat="1" x14ac:dyDescent="0.25">
      <c r="A944" s="752"/>
      <c r="B944" s="469"/>
      <c r="C944" s="468"/>
      <c r="D944" s="468"/>
      <c r="E944" s="323"/>
      <c r="F944" s="323"/>
      <c r="G944" s="780"/>
      <c r="H944" s="760"/>
      <c r="I944" s="780"/>
      <c r="J944" s="713"/>
      <c r="K944" s="468"/>
      <c r="L944" s="469"/>
    </row>
    <row r="945" spans="1:12" s="315" customFormat="1" x14ac:dyDescent="0.25">
      <c r="A945" s="752"/>
      <c r="B945" s="469"/>
      <c r="C945" s="468"/>
      <c r="D945" s="468"/>
      <c r="E945" s="323"/>
      <c r="F945" s="323"/>
      <c r="G945" s="780"/>
      <c r="H945" s="760"/>
      <c r="I945" s="780"/>
      <c r="J945" s="713"/>
      <c r="K945" s="468"/>
      <c r="L945" s="469"/>
    </row>
    <row r="946" spans="1:12" s="315" customFormat="1" x14ac:dyDescent="0.25">
      <c r="A946" s="752"/>
      <c r="B946" s="469"/>
      <c r="C946" s="468"/>
      <c r="D946" s="468"/>
      <c r="E946" s="323"/>
      <c r="F946" s="323"/>
      <c r="G946" s="780"/>
      <c r="H946" s="760"/>
      <c r="I946" s="780"/>
      <c r="J946" s="713"/>
      <c r="K946" s="468"/>
      <c r="L946" s="469"/>
    </row>
    <row r="947" spans="1:12" s="315" customFormat="1" x14ac:dyDescent="0.25">
      <c r="A947" s="752"/>
      <c r="B947" s="469"/>
      <c r="C947" s="468"/>
      <c r="D947" s="468"/>
      <c r="E947" s="323"/>
      <c r="F947" s="323"/>
      <c r="G947" s="780"/>
      <c r="H947" s="760"/>
      <c r="I947" s="780"/>
      <c r="J947" s="713"/>
      <c r="K947" s="468"/>
      <c r="L947" s="469"/>
    </row>
    <row r="948" spans="1:12" s="315" customFormat="1" x14ac:dyDescent="0.25">
      <c r="A948" s="752"/>
      <c r="B948" s="469"/>
      <c r="C948" s="468"/>
      <c r="D948" s="468"/>
      <c r="E948" s="323"/>
      <c r="F948" s="323"/>
      <c r="G948" s="780"/>
      <c r="H948" s="760"/>
      <c r="I948" s="780"/>
      <c r="J948" s="713"/>
      <c r="K948" s="468"/>
      <c r="L948" s="469"/>
    </row>
    <row r="949" spans="1:12" s="315" customFormat="1" x14ac:dyDescent="0.25">
      <c r="A949" s="752"/>
      <c r="B949" s="469"/>
      <c r="C949" s="468"/>
      <c r="D949" s="468"/>
      <c r="E949" s="323"/>
      <c r="F949" s="323"/>
      <c r="G949" s="780"/>
      <c r="H949" s="760"/>
      <c r="I949" s="780"/>
      <c r="J949" s="713"/>
      <c r="K949" s="468"/>
      <c r="L949" s="469"/>
    </row>
    <row r="950" spans="1:12" s="315" customFormat="1" x14ac:dyDescent="0.25">
      <c r="A950" s="752"/>
      <c r="B950" s="469"/>
      <c r="C950" s="468"/>
      <c r="D950" s="468"/>
      <c r="E950" s="323"/>
      <c r="F950" s="323"/>
      <c r="G950" s="780"/>
      <c r="H950" s="760"/>
      <c r="I950" s="780"/>
      <c r="J950" s="713"/>
      <c r="K950" s="468"/>
      <c r="L950" s="469"/>
    </row>
    <row r="951" spans="1:12" s="315" customFormat="1" x14ac:dyDescent="0.25">
      <c r="A951" s="752"/>
      <c r="B951" s="469"/>
      <c r="C951" s="468"/>
      <c r="D951" s="468"/>
      <c r="E951" s="323"/>
      <c r="F951" s="323"/>
      <c r="G951" s="780"/>
      <c r="H951" s="760"/>
      <c r="I951" s="780"/>
      <c r="J951" s="713"/>
      <c r="K951" s="468"/>
      <c r="L951" s="469"/>
    </row>
    <row r="952" spans="1:12" s="315" customFormat="1" x14ac:dyDescent="0.25">
      <c r="A952" s="752"/>
      <c r="B952" s="469"/>
      <c r="C952" s="468"/>
      <c r="D952" s="468"/>
      <c r="E952" s="323"/>
      <c r="F952" s="323"/>
      <c r="G952" s="780"/>
      <c r="H952" s="760"/>
      <c r="I952" s="780"/>
      <c r="J952" s="713"/>
      <c r="K952" s="468"/>
      <c r="L952" s="469"/>
    </row>
    <row r="953" spans="1:12" s="315" customFormat="1" x14ac:dyDescent="0.25">
      <c r="A953" s="752"/>
      <c r="B953" s="469"/>
      <c r="C953" s="468"/>
      <c r="D953" s="468"/>
      <c r="E953" s="323"/>
      <c r="F953" s="323"/>
      <c r="G953" s="780"/>
      <c r="H953" s="760"/>
      <c r="I953" s="780"/>
      <c r="J953" s="713"/>
      <c r="K953" s="468"/>
      <c r="L953" s="469"/>
    </row>
    <row r="954" spans="1:12" s="315" customFormat="1" x14ac:dyDescent="0.25">
      <c r="A954" s="752"/>
      <c r="B954" s="469"/>
      <c r="C954" s="468"/>
      <c r="D954" s="468"/>
      <c r="E954" s="323"/>
      <c r="F954" s="323"/>
      <c r="G954" s="780"/>
      <c r="H954" s="760"/>
      <c r="I954" s="780"/>
      <c r="J954" s="713"/>
      <c r="K954" s="468"/>
      <c r="L954" s="469"/>
    </row>
    <row r="955" spans="1:12" s="315" customFormat="1" x14ac:dyDescent="0.25">
      <c r="A955" s="752"/>
      <c r="B955" s="469"/>
      <c r="C955" s="468"/>
      <c r="D955" s="468"/>
      <c r="E955" s="323"/>
      <c r="F955" s="323"/>
      <c r="G955" s="780"/>
      <c r="H955" s="760"/>
      <c r="I955" s="780"/>
      <c r="J955" s="713"/>
      <c r="K955" s="468"/>
      <c r="L955" s="469"/>
    </row>
    <row r="956" spans="1:12" s="315" customFormat="1" x14ac:dyDescent="0.25">
      <c r="A956" s="752"/>
      <c r="B956" s="469"/>
      <c r="C956" s="468"/>
      <c r="D956" s="468"/>
      <c r="E956" s="323"/>
      <c r="F956" s="323"/>
      <c r="G956" s="780"/>
      <c r="H956" s="760"/>
      <c r="I956" s="780"/>
      <c r="J956" s="713"/>
      <c r="K956" s="468"/>
      <c r="L956" s="469"/>
    </row>
    <row r="957" spans="1:12" s="315" customFormat="1" x14ac:dyDescent="0.25">
      <c r="A957" s="752"/>
      <c r="B957" s="469"/>
      <c r="C957" s="468"/>
      <c r="D957" s="468"/>
      <c r="E957" s="323"/>
      <c r="F957" s="323"/>
      <c r="G957" s="780"/>
      <c r="H957" s="760"/>
      <c r="I957" s="780"/>
      <c r="J957" s="713"/>
      <c r="K957" s="468"/>
      <c r="L957" s="469"/>
    </row>
    <row r="958" spans="1:12" s="315" customFormat="1" x14ac:dyDescent="0.25">
      <c r="A958" s="752"/>
      <c r="B958" s="469"/>
      <c r="C958" s="468"/>
      <c r="D958" s="468"/>
      <c r="E958" s="323"/>
      <c r="F958" s="323"/>
      <c r="G958" s="780"/>
      <c r="H958" s="760"/>
      <c r="I958" s="780"/>
      <c r="J958" s="713"/>
      <c r="K958" s="468"/>
      <c r="L958" s="469"/>
    </row>
    <row r="959" spans="1:12" s="315" customFormat="1" x14ac:dyDescent="0.25">
      <c r="A959" s="752"/>
      <c r="B959" s="469"/>
      <c r="C959" s="468"/>
      <c r="D959" s="468"/>
      <c r="E959" s="323"/>
      <c r="F959" s="323"/>
      <c r="G959" s="780"/>
      <c r="H959" s="760"/>
      <c r="I959" s="780"/>
      <c r="J959" s="713"/>
      <c r="K959" s="468"/>
      <c r="L959" s="469"/>
    </row>
    <row r="960" spans="1:12" s="315" customFormat="1" x14ac:dyDescent="0.25">
      <c r="A960" s="752"/>
      <c r="B960" s="469"/>
      <c r="C960" s="468"/>
      <c r="D960" s="468"/>
      <c r="E960" s="323"/>
      <c r="F960" s="323"/>
      <c r="G960" s="780"/>
      <c r="H960" s="760"/>
      <c r="I960" s="780"/>
      <c r="J960" s="713"/>
      <c r="K960" s="468"/>
      <c r="L960" s="469"/>
    </row>
    <row r="961" spans="1:12" s="315" customFormat="1" x14ac:dyDescent="0.25">
      <c r="A961" s="752"/>
      <c r="B961" s="469"/>
      <c r="C961" s="468"/>
      <c r="D961" s="468"/>
      <c r="E961" s="323"/>
      <c r="F961" s="323"/>
      <c r="G961" s="780"/>
      <c r="H961" s="760"/>
      <c r="I961" s="780"/>
      <c r="J961" s="713"/>
      <c r="K961" s="468"/>
      <c r="L961" s="469"/>
    </row>
    <row r="962" spans="1:12" s="315" customFormat="1" x14ac:dyDescent="0.25">
      <c r="A962" s="752"/>
      <c r="B962" s="469"/>
      <c r="C962" s="468"/>
      <c r="D962" s="468"/>
      <c r="E962" s="323"/>
      <c r="F962" s="323"/>
      <c r="G962" s="780"/>
      <c r="H962" s="760"/>
      <c r="I962" s="780"/>
      <c r="J962" s="713"/>
      <c r="K962" s="468"/>
      <c r="L962" s="469"/>
    </row>
    <row r="963" spans="1:12" s="315" customFormat="1" x14ac:dyDescent="0.25">
      <c r="A963" s="752"/>
      <c r="B963" s="469"/>
      <c r="C963" s="468"/>
      <c r="D963" s="468"/>
      <c r="E963" s="323"/>
      <c r="F963" s="323"/>
      <c r="G963" s="780"/>
      <c r="H963" s="760"/>
      <c r="I963" s="780"/>
      <c r="J963" s="713"/>
      <c r="K963" s="468"/>
      <c r="L963" s="469"/>
    </row>
    <row r="964" spans="1:12" s="315" customFormat="1" x14ac:dyDescent="0.25">
      <c r="A964" s="752"/>
      <c r="B964" s="469"/>
      <c r="C964" s="468"/>
      <c r="D964" s="468"/>
      <c r="E964" s="323"/>
      <c r="F964" s="323"/>
      <c r="G964" s="780"/>
      <c r="H964" s="760"/>
      <c r="I964" s="780"/>
      <c r="J964" s="713"/>
      <c r="K964" s="468"/>
      <c r="L964" s="469"/>
    </row>
    <row r="965" spans="1:12" s="315" customFormat="1" x14ac:dyDescent="0.25">
      <c r="A965" s="752"/>
      <c r="B965" s="469"/>
      <c r="C965" s="468"/>
      <c r="D965" s="468"/>
      <c r="E965" s="323"/>
      <c r="F965" s="323"/>
      <c r="G965" s="780"/>
      <c r="H965" s="760"/>
      <c r="I965" s="780"/>
      <c r="J965" s="713"/>
      <c r="K965" s="468"/>
      <c r="L965" s="469"/>
    </row>
    <row r="966" spans="1:12" s="315" customFormat="1" x14ac:dyDescent="0.25">
      <c r="A966" s="752"/>
      <c r="B966" s="469"/>
      <c r="C966" s="468"/>
      <c r="D966" s="468"/>
      <c r="E966" s="323"/>
      <c r="F966" s="323"/>
      <c r="G966" s="780"/>
      <c r="H966" s="760"/>
      <c r="I966" s="780"/>
      <c r="J966" s="713"/>
      <c r="K966" s="468"/>
      <c r="L966" s="469"/>
    </row>
    <row r="967" spans="1:12" s="315" customFormat="1" x14ac:dyDescent="0.25">
      <c r="A967" s="752"/>
      <c r="B967" s="469"/>
      <c r="C967" s="468"/>
      <c r="D967" s="468"/>
      <c r="E967" s="323"/>
      <c r="F967" s="323"/>
      <c r="G967" s="780"/>
      <c r="H967" s="760"/>
      <c r="I967" s="780"/>
      <c r="J967" s="713"/>
      <c r="K967" s="468"/>
      <c r="L967" s="469"/>
    </row>
    <row r="968" spans="1:12" s="315" customFormat="1" x14ac:dyDescent="0.25">
      <c r="A968" s="752"/>
      <c r="B968" s="469"/>
      <c r="C968" s="468"/>
      <c r="D968" s="468"/>
      <c r="E968" s="323"/>
      <c r="F968" s="323"/>
      <c r="G968" s="780"/>
      <c r="H968" s="760"/>
      <c r="I968" s="780"/>
      <c r="J968" s="713"/>
      <c r="K968" s="468"/>
      <c r="L968" s="469"/>
    </row>
    <row r="969" spans="1:12" s="315" customFormat="1" x14ac:dyDescent="0.25">
      <c r="A969" s="752"/>
      <c r="B969" s="469"/>
      <c r="C969" s="468"/>
      <c r="D969" s="468"/>
      <c r="E969" s="323"/>
      <c r="F969" s="323"/>
      <c r="G969" s="780"/>
      <c r="H969" s="760"/>
      <c r="I969" s="780"/>
      <c r="J969" s="713"/>
      <c r="K969" s="468"/>
      <c r="L969" s="469"/>
    </row>
    <row r="970" spans="1:12" s="315" customFormat="1" x14ac:dyDescent="0.25">
      <c r="A970" s="752"/>
      <c r="B970" s="469"/>
      <c r="C970" s="468"/>
      <c r="D970" s="468"/>
      <c r="E970" s="323"/>
      <c r="F970" s="323"/>
      <c r="G970" s="780"/>
      <c r="H970" s="760"/>
      <c r="I970" s="780"/>
      <c r="J970" s="713"/>
      <c r="K970" s="468"/>
      <c r="L970" s="469"/>
    </row>
    <row r="971" spans="1:12" s="315" customFormat="1" x14ac:dyDescent="0.25">
      <c r="A971" s="752"/>
      <c r="B971" s="469"/>
      <c r="C971" s="468"/>
      <c r="D971" s="468"/>
      <c r="E971" s="323"/>
      <c r="F971" s="323"/>
      <c r="G971" s="780"/>
      <c r="H971" s="760"/>
      <c r="I971" s="780"/>
      <c r="J971" s="713"/>
      <c r="K971" s="468"/>
      <c r="L971" s="469"/>
    </row>
    <row r="972" spans="1:12" s="315" customFormat="1" x14ac:dyDescent="0.25">
      <c r="A972" s="752"/>
      <c r="B972" s="469"/>
      <c r="C972" s="468"/>
      <c r="D972" s="468"/>
      <c r="E972" s="323"/>
      <c r="F972" s="323"/>
      <c r="G972" s="780"/>
      <c r="H972" s="760"/>
      <c r="I972" s="780"/>
      <c r="J972" s="713"/>
      <c r="K972" s="468"/>
      <c r="L972" s="469"/>
    </row>
    <row r="973" spans="1:12" s="315" customFormat="1" x14ac:dyDescent="0.25">
      <c r="A973" s="752"/>
      <c r="B973" s="469"/>
      <c r="C973" s="468"/>
      <c r="D973" s="468"/>
      <c r="E973" s="323"/>
      <c r="F973" s="323"/>
      <c r="G973" s="780"/>
      <c r="H973" s="760"/>
      <c r="I973" s="780"/>
      <c r="J973" s="713"/>
      <c r="K973" s="468"/>
      <c r="L973" s="469"/>
    </row>
    <row r="974" spans="1:12" s="315" customFormat="1" x14ac:dyDescent="0.25">
      <c r="A974" s="752"/>
      <c r="B974" s="469"/>
      <c r="C974" s="468"/>
      <c r="D974" s="468"/>
      <c r="E974" s="323"/>
      <c r="F974" s="323"/>
      <c r="G974" s="780"/>
      <c r="H974" s="760"/>
      <c r="I974" s="780"/>
      <c r="J974" s="713"/>
      <c r="K974" s="468"/>
      <c r="L974" s="469"/>
    </row>
    <row r="975" spans="1:12" s="315" customFormat="1" x14ac:dyDescent="0.25">
      <c r="A975" s="752"/>
      <c r="B975" s="469"/>
      <c r="C975" s="468"/>
      <c r="D975" s="468"/>
      <c r="E975" s="323"/>
      <c r="F975" s="323"/>
      <c r="G975" s="780"/>
      <c r="H975" s="760"/>
      <c r="I975" s="780"/>
      <c r="J975" s="713"/>
      <c r="K975" s="468"/>
      <c r="L975" s="469"/>
    </row>
    <row r="976" spans="1:12" s="315" customFormat="1" x14ac:dyDescent="0.25">
      <c r="A976" s="752"/>
      <c r="B976" s="469"/>
      <c r="C976" s="468"/>
      <c r="D976" s="468"/>
      <c r="E976" s="323"/>
      <c r="F976" s="323"/>
      <c r="G976" s="780"/>
      <c r="H976" s="760"/>
      <c r="I976" s="780"/>
      <c r="J976" s="713"/>
      <c r="K976" s="468"/>
      <c r="L976" s="469"/>
    </row>
    <row r="977" spans="1:12" s="315" customFormat="1" x14ac:dyDescent="0.25">
      <c r="A977" s="752"/>
      <c r="B977" s="469"/>
      <c r="C977" s="468"/>
      <c r="D977" s="468"/>
      <c r="E977" s="323"/>
      <c r="F977" s="323"/>
      <c r="G977" s="780"/>
      <c r="H977" s="760"/>
      <c r="I977" s="780"/>
      <c r="J977" s="713"/>
      <c r="K977" s="468"/>
      <c r="L977" s="469"/>
    </row>
    <row r="978" spans="1:12" s="315" customFormat="1" x14ac:dyDescent="0.25">
      <c r="A978" s="752"/>
      <c r="B978" s="469"/>
      <c r="C978" s="468"/>
      <c r="D978" s="468"/>
      <c r="E978" s="323"/>
      <c r="F978" s="323"/>
      <c r="G978" s="780"/>
      <c r="H978" s="760"/>
      <c r="I978" s="780"/>
      <c r="J978" s="713"/>
      <c r="K978" s="468"/>
      <c r="L978" s="469"/>
    </row>
    <row r="979" spans="1:12" s="315" customFormat="1" x14ac:dyDescent="0.25">
      <c r="A979" s="752"/>
      <c r="B979" s="469"/>
      <c r="C979" s="468"/>
      <c r="D979" s="468"/>
      <c r="E979" s="323"/>
      <c r="F979" s="323"/>
      <c r="G979" s="780"/>
      <c r="H979" s="760"/>
      <c r="I979" s="780"/>
      <c r="J979" s="713"/>
      <c r="K979" s="468"/>
      <c r="L979" s="469"/>
    </row>
    <row r="980" spans="1:12" s="315" customFormat="1" x14ac:dyDescent="0.25">
      <c r="A980" s="752"/>
      <c r="B980" s="469"/>
      <c r="C980" s="468"/>
      <c r="D980" s="468"/>
      <c r="E980" s="323"/>
      <c r="F980" s="323"/>
      <c r="G980" s="780"/>
      <c r="H980" s="760"/>
      <c r="I980" s="780"/>
      <c r="J980" s="713"/>
      <c r="K980" s="468"/>
      <c r="L980" s="469"/>
    </row>
    <row r="981" spans="1:12" s="315" customFormat="1" x14ac:dyDescent="0.25">
      <c r="A981" s="752"/>
      <c r="B981" s="469"/>
      <c r="C981" s="468"/>
      <c r="D981" s="468"/>
      <c r="E981" s="323"/>
      <c r="F981" s="323"/>
      <c r="G981" s="780"/>
      <c r="H981" s="760"/>
      <c r="I981" s="780"/>
      <c r="J981" s="713"/>
      <c r="K981" s="468"/>
      <c r="L981" s="469"/>
    </row>
    <row r="982" spans="1:12" s="315" customFormat="1" x14ac:dyDescent="0.25">
      <c r="A982" s="752"/>
      <c r="B982" s="469"/>
      <c r="C982" s="468"/>
      <c r="D982" s="468"/>
      <c r="E982" s="323"/>
      <c r="F982" s="323"/>
      <c r="G982" s="780"/>
      <c r="H982" s="760"/>
      <c r="I982" s="780"/>
      <c r="J982" s="713"/>
      <c r="K982" s="468"/>
      <c r="L982" s="469"/>
    </row>
    <row r="983" spans="1:12" s="315" customFormat="1" x14ac:dyDescent="0.25">
      <c r="A983" s="752"/>
      <c r="B983" s="469"/>
      <c r="C983" s="468"/>
      <c r="D983" s="468"/>
      <c r="E983" s="323"/>
      <c r="F983" s="323"/>
      <c r="G983" s="780"/>
      <c r="H983" s="760"/>
      <c r="I983" s="780"/>
      <c r="J983" s="713"/>
      <c r="K983" s="468"/>
      <c r="L983" s="469"/>
    </row>
    <row r="984" spans="1:12" s="315" customFormat="1" x14ac:dyDescent="0.25">
      <c r="A984" s="752"/>
      <c r="B984" s="469"/>
      <c r="C984" s="468"/>
      <c r="D984" s="468"/>
      <c r="E984" s="323"/>
      <c r="F984" s="323"/>
      <c r="G984" s="780"/>
      <c r="H984" s="760"/>
      <c r="I984" s="780"/>
      <c r="J984" s="713"/>
      <c r="K984" s="468"/>
      <c r="L984" s="469"/>
    </row>
    <row r="985" spans="1:12" s="315" customFormat="1" x14ac:dyDescent="0.25">
      <c r="A985" s="752"/>
      <c r="B985" s="469"/>
      <c r="C985" s="468"/>
      <c r="D985" s="468"/>
      <c r="E985" s="323"/>
      <c r="F985" s="323"/>
      <c r="G985" s="780"/>
      <c r="H985" s="760"/>
      <c r="I985" s="780"/>
      <c r="J985" s="713"/>
      <c r="K985" s="468"/>
      <c r="L985" s="469"/>
    </row>
    <row r="986" spans="1:12" s="315" customFormat="1" x14ac:dyDescent="0.25">
      <c r="A986" s="752"/>
      <c r="B986" s="469"/>
      <c r="C986" s="468"/>
      <c r="D986" s="468"/>
      <c r="E986" s="323"/>
      <c r="F986" s="323"/>
      <c r="G986" s="780"/>
      <c r="H986" s="760"/>
      <c r="I986" s="780"/>
      <c r="J986" s="713"/>
      <c r="K986" s="468"/>
      <c r="L986" s="469"/>
    </row>
    <row r="987" spans="1:12" s="315" customFormat="1" x14ac:dyDescent="0.25">
      <c r="A987" s="752"/>
      <c r="B987" s="469"/>
      <c r="C987" s="468"/>
      <c r="D987" s="468"/>
      <c r="E987" s="323"/>
      <c r="F987" s="323"/>
      <c r="G987" s="780"/>
      <c r="H987" s="760"/>
      <c r="I987" s="780"/>
      <c r="J987" s="713"/>
      <c r="K987" s="468"/>
      <c r="L987" s="469"/>
    </row>
    <row r="988" spans="1:12" s="315" customFormat="1" x14ac:dyDescent="0.25">
      <c r="A988" s="752"/>
      <c r="B988" s="469"/>
      <c r="C988" s="468"/>
      <c r="D988" s="468"/>
      <c r="E988" s="323"/>
      <c r="F988" s="323"/>
      <c r="G988" s="780"/>
      <c r="H988" s="760"/>
      <c r="I988" s="780"/>
      <c r="J988" s="713"/>
      <c r="K988" s="468"/>
      <c r="L988" s="469"/>
    </row>
    <row r="989" spans="1:12" s="315" customFormat="1" x14ac:dyDescent="0.25">
      <c r="A989" s="752"/>
      <c r="B989" s="469"/>
      <c r="C989" s="468"/>
      <c r="D989" s="468"/>
      <c r="E989" s="323"/>
      <c r="F989" s="323"/>
      <c r="G989" s="780"/>
      <c r="H989" s="760"/>
      <c r="I989" s="780"/>
      <c r="J989" s="713"/>
      <c r="K989" s="468"/>
      <c r="L989" s="469"/>
    </row>
    <row r="990" spans="1:12" s="315" customFormat="1" x14ac:dyDescent="0.25">
      <c r="A990" s="752"/>
      <c r="B990" s="469"/>
      <c r="C990" s="468"/>
      <c r="D990" s="468"/>
      <c r="E990" s="323"/>
      <c r="F990" s="323"/>
      <c r="G990" s="780"/>
      <c r="H990" s="760"/>
      <c r="I990" s="780"/>
      <c r="J990" s="713"/>
      <c r="K990" s="468"/>
      <c r="L990" s="469"/>
    </row>
    <row r="991" spans="1:12" s="315" customFormat="1" x14ac:dyDescent="0.25">
      <c r="A991" s="752"/>
      <c r="B991" s="469"/>
      <c r="C991" s="468"/>
      <c r="D991" s="468"/>
      <c r="E991" s="323"/>
      <c r="F991" s="323"/>
      <c r="G991" s="780"/>
      <c r="H991" s="760"/>
      <c r="I991" s="780"/>
      <c r="J991" s="713"/>
      <c r="K991" s="468"/>
      <c r="L991" s="469"/>
    </row>
    <row r="992" spans="1:12" s="315" customFormat="1" x14ac:dyDescent="0.25">
      <c r="A992" s="752"/>
      <c r="B992" s="469"/>
      <c r="C992" s="468"/>
      <c r="D992" s="468"/>
      <c r="E992" s="323"/>
      <c r="F992" s="323"/>
      <c r="G992" s="780"/>
      <c r="H992" s="760"/>
      <c r="I992" s="780"/>
      <c r="J992" s="713"/>
      <c r="K992" s="468"/>
      <c r="L992" s="469"/>
    </row>
    <row r="993" spans="1:12" s="315" customFormat="1" x14ac:dyDescent="0.25">
      <c r="A993" s="752"/>
      <c r="B993" s="469"/>
      <c r="C993" s="468"/>
      <c r="D993" s="468"/>
      <c r="E993" s="323"/>
      <c r="F993" s="323"/>
      <c r="G993" s="780"/>
      <c r="H993" s="760"/>
      <c r="I993" s="780"/>
      <c r="J993" s="713"/>
      <c r="K993" s="468"/>
      <c r="L993" s="469"/>
    </row>
    <row r="994" spans="1:12" s="315" customFormat="1" x14ac:dyDescent="0.25">
      <c r="A994" s="752"/>
      <c r="B994" s="469"/>
      <c r="C994" s="468"/>
      <c r="D994" s="468"/>
      <c r="E994" s="323"/>
      <c r="F994" s="323"/>
      <c r="G994" s="780"/>
      <c r="H994" s="760"/>
      <c r="I994" s="780"/>
      <c r="J994" s="713"/>
      <c r="K994" s="468"/>
      <c r="L994" s="469"/>
    </row>
    <row r="995" spans="1:12" s="315" customFormat="1" x14ac:dyDescent="0.25">
      <c r="A995" s="752"/>
      <c r="B995" s="469"/>
      <c r="C995" s="468"/>
      <c r="D995" s="468"/>
      <c r="E995" s="323"/>
      <c r="F995" s="323"/>
      <c r="G995" s="780"/>
      <c r="H995" s="760"/>
      <c r="I995" s="780"/>
      <c r="J995" s="713"/>
      <c r="K995" s="468"/>
      <c r="L995" s="469"/>
    </row>
    <row r="996" spans="1:12" s="315" customFormat="1" x14ac:dyDescent="0.25">
      <c r="A996" s="752"/>
      <c r="B996" s="469"/>
      <c r="C996" s="468"/>
      <c r="D996" s="468"/>
      <c r="E996" s="323"/>
      <c r="F996" s="323"/>
      <c r="G996" s="780"/>
      <c r="H996" s="760"/>
      <c r="I996" s="780"/>
      <c r="J996" s="713"/>
      <c r="K996" s="468"/>
      <c r="L996" s="469"/>
    </row>
    <row r="997" spans="1:12" s="315" customFormat="1" x14ac:dyDescent="0.25">
      <c r="A997" s="752"/>
      <c r="B997" s="469"/>
      <c r="C997" s="468"/>
      <c r="D997" s="468"/>
      <c r="E997" s="323"/>
      <c r="F997" s="323"/>
      <c r="G997" s="780"/>
      <c r="H997" s="760"/>
      <c r="I997" s="780"/>
      <c r="J997" s="713"/>
      <c r="K997" s="468"/>
      <c r="L997" s="469"/>
    </row>
    <row r="998" spans="1:12" s="315" customFormat="1" x14ac:dyDescent="0.25">
      <c r="A998" s="752"/>
      <c r="B998" s="469"/>
      <c r="C998" s="468"/>
      <c r="D998" s="468"/>
      <c r="E998" s="323"/>
      <c r="F998" s="323"/>
      <c r="G998" s="780"/>
      <c r="H998" s="760"/>
      <c r="I998" s="780"/>
      <c r="J998" s="713"/>
      <c r="K998" s="468"/>
      <c r="L998" s="469"/>
    </row>
    <row r="999" spans="1:12" s="315" customFormat="1" x14ac:dyDescent="0.25">
      <c r="A999" s="752"/>
      <c r="B999" s="469"/>
      <c r="C999" s="468"/>
      <c r="D999" s="468"/>
      <c r="E999" s="323"/>
      <c r="F999" s="323"/>
      <c r="G999" s="780"/>
      <c r="H999" s="760"/>
      <c r="I999" s="780"/>
      <c r="J999" s="713"/>
      <c r="K999" s="468"/>
      <c r="L999" s="469"/>
    </row>
    <row r="1000" spans="1:12" s="315" customFormat="1" x14ac:dyDescent="0.25">
      <c r="A1000" s="752"/>
      <c r="B1000" s="469"/>
      <c r="C1000" s="468"/>
      <c r="D1000" s="468"/>
      <c r="E1000" s="323"/>
      <c r="F1000" s="323"/>
      <c r="G1000" s="780"/>
      <c r="H1000" s="760"/>
      <c r="I1000" s="780"/>
      <c r="J1000" s="713"/>
      <c r="K1000" s="468"/>
      <c r="L1000" s="469"/>
    </row>
    <row r="1001" spans="1:12" s="315" customFormat="1" x14ac:dyDescent="0.25">
      <c r="A1001" s="752"/>
      <c r="B1001" s="469"/>
      <c r="C1001" s="468"/>
      <c r="D1001" s="468"/>
      <c r="E1001" s="323"/>
      <c r="F1001" s="323"/>
      <c r="G1001" s="780"/>
      <c r="H1001" s="760"/>
      <c r="I1001" s="780"/>
      <c r="J1001" s="713"/>
      <c r="K1001" s="468"/>
      <c r="L1001" s="469"/>
    </row>
    <row r="1002" spans="1:12" s="315" customFormat="1" x14ac:dyDescent="0.25">
      <c r="A1002" s="752"/>
      <c r="B1002" s="469"/>
      <c r="C1002" s="468"/>
      <c r="D1002" s="468"/>
      <c r="E1002" s="323"/>
      <c r="F1002" s="323"/>
      <c r="G1002" s="780"/>
      <c r="H1002" s="760"/>
      <c r="I1002" s="780"/>
      <c r="J1002" s="713"/>
      <c r="K1002" s="468"/>
      <c r="L1002" s="469"/>
    </row>
    <row r="1003" spans="1:12" s="315" customFormat="1" x14ac:dyDescent="0.25">
      <c r="A1003" s="752"/>
      <c r="B1003" s="469"/>
      <c r="C1003" s="468"/>
      <c r="D1003" s="468"/>
      <c r="E1003" s="323"/>
      <c r="F1003" s="323"/>
      <c r="G1003" s="780"/>
      <c r="H1003" s="760"/>
      <c r="I1003" s="780"/>
      <c r="J1003" s="713"/>
      <c r="K1003" s="468"/>
      <c r="L1003" s="469"/>
    </row>
    <row r="1004" spans="1:12" s="315" customFormat="1" x14ac:dyDescent="0.25">
      <c r="A1004" s="752"/>
      <c r="B1004" s="469"/>
      <c r="C1004" s="468"/>
      <c r="D1004" s="468"/>
      <c r="E1004" s="323"/>
      <c r="F1004" s="323"/>
      <c r="G1004" s="780"/>
      <c r="H1004" s="760"/>
      <c r="I1004" s="780"/>
      <c r="J1004" s="713"/>
      <c r="K1004" s="468"/>
      <c r="L1004" s="469"/>
    </row>
    <row r="1005" spans="1:12" s="315" customFormat="1" x14ac:dyDescent="0.25">
      <c r="A1005" s="752"/>
      <c r="B1005" s="469"/>
      <c r="C1005" s="468"/>
      <c r="D1005" s="468"/>
      <c r="E1005" s="323"/>
      <c r="F1005" s="323"/>
      <c r="G1005" s="780"/>
      <c r="H1005" s="760"/>
      <c r="I1005" s="780"/>
      <c r="J1005" s="713"/>
      <c r="K1005" s="468"/>
      <c r="L1005" s="469"/>
    </row>
    <row r="1006" spans="1:12" s="315" customFormat="1" x14ac:dyDescent="0.25">
      <c r="A1006" s="752"/>
      <c r="B1006" s="469"/>
      <c r="C1006" s="468"/>
      <c r="D1006" s="468"/>
      <c r="E1006" s="323"/>
      <c r="F1006" s="323"/>
      <c r="G1006" s="780"/>
      <c r="H1006" s="760"/>
      <c r="I1006" s="780"/>
      <c r="J1006" s="713"/>
      <c r="K1006" s="468"/>
      <c r="L1006" s="469"/>
    </row>
    <row r="1007" spans="1:12" s="315" customFormat="1" x14ac:dyDescent="0.25">
      <c r="A1007" s="752"/>
      <c r="B1007" s="469"/>
      <c r="C1007" s="468"/>
      <c r="D1007" s="468"/>
      <c r="E1007" s="323"/>
      <c r="F1007" s="323"/>
      <c r="G1007" s="780"/>
      <c r="H1007" s="760"/>
      <c r="I1007" s="780"/>
      <c r="J1007" s="713"/>
      <c r="K1007" s="468"/>
      <c r="L1007" s="469"/>
    </row>
    <row r="1008" spans="1:12" s="315" customFormat="1" x14ac:dyDescent="0.25">
      <c r="A1008" s="752"/>
      <c r="B1008" s="469"/>
      <c r="C1008" s="468"/>
      <c r="D1008" s="468"/>
      <c r="E1008" s="323"/>
      <c r="F1008" s="323"/>
      <c r="G1008" s="780"/>
      <c r="H1008" s="760"/>
      <c r="I1008" s="780"/>
      <c r="J1008" s="713"/>
      <c r="K1008" s="468"/>
      <c r="L1008" s="469"/>
    </row>
    <row r="1009" spans="1:12" s="315" customFormat="1" x14ac:dyDescent="0.25">
      <c r="A1009" s="752"/>
      <c r="B1009" s="469"/>
      <c r="C1009" s="468"/>
      <c r="D1009" s="468"/>
      <c r="E1009" s="323"/>
      <c r="F1009" s="323"/>
      <c r="G1009" s="780"/>
      <c r="H1009" s="760"/>
      <c r="I1009" s="780"/>
      <c r="J1009" s="713"/>
      <c r="K1009" s="468"/>
      <c r="L1009" s="469"/>
    </row>
    <row r="1010" spans="1:12" s="315" customFormat="1" x14ac:dyDescent="0.25">
      <c r="A1010" s="752"/>
      <c r="B1010" s="469"/>
      <c r="C1010" s="468"/>
      <c r="D1010" s="468"/>
      <c r="E1010" s="323"/>
      <c r="F1010" s="323"/>
      <c r="G1010" s="780"/>
      <c r="H1010" s="760"/>
      <c r="I1010" s="780"/>
      <c r="J1010" s="713"/>
      <c r="K1010" s="468"/>
      <c r="L1010" s="469"/>
    </row>
    <row r="1011" spans="1:12" s="315" customFormat="1" x14ac:dyDescent="0.25">
      <c r="A1011" s="752"/>
      <c r="B1011" s="469"/>
      <c r="C1011" s="468"/>
      <c r="D1011" s="468"/>
      <c r="E1011" s="323"/>
      <c r="F1011" s="323"/>
      <c r="G1011" s="780"/>
      <c r="H1011" s="760"/>
      <c r="I1011" s="780"/>
      <c r="J1011" s="713"/>
      <c r="K1011" s="468"/>
      <c r="L1011" s="469"/>
    </row>
    <row r="1012" spans="1:12" s="315" customFormat="1" x14ac:dyDescent="0.25">
      <c r="A1012" s="752"/>
      <c r="B1012" s="469"/>
      <c r="C1012" s="468"/>
      <c r="D1012" s="468"/>
      <c r="E1012" s="323"/>
      <c r="F1012" s="323"/>
      <c r="G1012" s="780"/>
      <c r="H1012" s="760"/>
      <c r="I1012" s="780"/>
      <c r="J1012" s="713"/>
      <c r="K1012" s="468"/>
      <c r="L1012" s="469"/>
    </row>
    <row r="1013" spans="1:12" s="315" customFormat="1" x14ac:dyDescent="0.25">
      <c r="A1013" s="752"/>
      <c r="B1013" s="469"/>
      <c r="C1013" s="468"/>
      <c r="D1013" s="468"/>
      <c r="E1013" s="323"/>
      <c r="F1013" s="323"/>
      <c r="G1013" s="780"/>
      <c r="H1013" s="760"/>
      <c r="I1013" s="780"/>
      <c r="J1013" s="713"/>
      <c r="K1013" s="468"/>
      <c r="L1013" s="469"/>
    </row>
    <row r="1014" spans="1:12" s="315" customFormat="1" x14ac:dyDescent="0.25">
      <c r="A1014" s="752"/>
      <c r="B1014" s="469"/>
      <c r="C1014" s="468"/>
      <c r="D1014" s="468"/>
      <c r="E1014" s="323"/>
      <c r="F1014" s="323"/>
      <c r="G1014" s="780"/>
      <c r="H1014" s="760"/>
      <c r="I1014" s="780"/>
      <c r="J1014" s="713"/>
      <c r="K1014" s="468"/>
      <c r="L1014" s="469"/>
    </row>
    <row r="1015" spans="1:12" s="315" customFormat="1" x14ac:dyDescent="0.25">
      <c r="A1015" s="752"/>
      <c r="B1015" s="469"/>
      <c r="C1015" s="468"/>
      <c r="D1015" s="468"/>
      <c r="E1015" s="323"/>
      <c r="F1015" s="323"/>
      <c r="G1015" s="780"/>
      <c r="H1015" s="760"/>
      <c r="I1015" s="780"/>
      <c r="J1015" s="713"/>
      <c r="K1015" s="468"/>
      <c r="L1015" s="469"/>
    </row>
    <row r="1016" spans="1:12" s="315" customFormat="1" x14ac:dyDescent="0.25">
      <c r="A1016" s="752"/>
      <c r="B1016" s="469"/>
      <c r="C1016" s="468"/>
      <c r="D1016" s="468"/>
      <c r="E1016" s="323"/>
      <c r="F1016" s="323"/>
      <c r="G1016" s="780"/>
      <c r="H1016" s="760"/>
      <c r="I1016" s="780"/>
      <c r="J1016" s="713"/>
      <c r="K1016" s="468"/>
      <c r="L1016" s="469"/>
    </row>
    <row r="1017" spans="1:12" s="315" customFormat="1" x14ac:dyDescent="0.25">
      <c r="A1017" s="752"/>
      <c r="B1017" s="469"/>
      <c r="C1017" s="468"/>
      <c r="D1017" s="468"/>
      <c r="E1017" s="323"/>
      <c r="F1017" s="323"/>
      <c r="G1017" s="780"/>
      <c r="H1017" s="760"/>
      <c r="I1017" s="780"/>
      <c r="J1017" s="713"/>
      <c r="K1017" s="468"/>
      <c r="L1017" s="469"/>
    </row>
    <row r="1018" spans="1:12" s="315" customFormat="1" x14ac:dyDescent="0.25">
      <c r="A1018" s="752"/>
      <c r="B1018" s="469"/>
      <c r="C1018" s="468"/>
      <c r="D1018" s="468"/>
      <c r="E1018" s="323"/>
      <c r="F1018" s="323"/>
      <c r="G1018" s="780"/>
      <c r="H1018" s="760"/>
      <c r="I1018" s="780"/>
      <c r="J1018" s="713"/>
      <c r="K1018" s="468"/>
      <c r="L1018" s="469"/>
    </row>
    <row r="1019" spans="1:12" s="315" customFormat="1" x14ac:dyDescent="0.25">
      <c r="A1019" s="752"/>
      <c r="B1019" s="469"/>
      <c r="C1019" s="468"/>
      <c r="D1019" s="468"/>
      <c r="E1019" s="323"/>
      <c r="F1019" s="323"/>
      <c r="G1019" s="780"/>
      <c r="H1019" s="760"/>
      <c r="I1019" s="780"/>
      <c r="J1019" s="713"/>
      <c r="K1019" s="468"/>
      <c r="L1019" s="469"/>
    </row>
    <row r="1020" spans="1:12" s="315" customFormat="1" x14ac:dyDescent="0.25">
      <c r="A1020" s="752"/>
      <c r="B1020" s="469"/>
      <c r="C1020" s="468"/>
      <c r="D1020" s="468"/>
      <c r="E1020" s="323"/>
      <c r="F1020" s="323"/>
      <c r="G1020" s="780"/>
      <c r="H1020" s="760"/>
      <c r="I1020" s="780"/>
      <c r="J1020" s="713"/>
      <c r="K1020" s="468"/>
      <c r="L1020" s="469"/>
    </row>
    <row r="1021" spans="1:12" s="315" customFormat="1" x14ac:dyDescent="0.25">
      <c r="A1021" s="752"/>
      <c r="B1021" s="469"/>
      <c r="C1021" s="468"/>
      <c r="D1021" s="468"/>
      <c r="E1021" s="323"/>
      <c r="F1021" s="323"/>
      <c r="G1021" s="780"/>
      <c r="H1021" s="760"/>
      <c r="I1021" s="780"/>
      <c r="J1021" s="713"/>
      <c r="K1021" s="468"/>
      <c r="L1021" s="469"/>
    </row>
    <row r="1022" spans="1:12" s="315" customFormat="1" x14ac:dyDescent="0.25">
      <c r="A1022" s="752"/>
      <c r="B1022" s="469"/>
      <c r="C1022" s="468"/>
      <c r="D1022" s="468"/>
      <c r="E1022" s="323"/>
      <c r="F1022" s="323"/>
      <c r="G1022" s="780"/>
      <c r="H1022" s="760"/>
      <c r="I1022" s="780"/>
      <c r="J1022" s="713"/>
      <c r="K1022" s="468"/>
      <c r="L1022" s="469"/>
    </row>
    <row r="1023" spans="1:12" s="315" customFormat="1" x14ac:dyDescent="0.25">
      <c r="A1023" s="752"/>
      <c r="B1023" s="469"/>
      <c r="C1023" s="468"/>
      <c r="D1023" s="468"/>
      <c r="E1023" s="323"/>
      <c r="F1023" s="323"/>
      <c r="G1023" s="780"/>
      <c r="H1023" s="760"/>
      <c r="I1023" s="780"/>
      <c r="J1023" s="713"/>
      <c r="K1023" s="468"/>
      <c r="L1023" s="469"/>
    </row>
    <row r="1024" spans="1:12" s="315" customFormat="1" x14ac:dyDescent="0.25">
      <c r="A1024" s="752"/>
      <c r="B1024" s="469"/>
      <c r="C1024" s="468"/>
      <c r="D1024" s="468"/>
      <c r="E1024" s="323"/>
      <c r="F1024" s="323"/>
      <c r="G1024" s="780"/>
      <c r="H1024" s="760"/>
      <c r="I1024" s="780"/>
      <c r="J1024" s="713"/>
      <c r="K1024" s="468"/>
      <c r="L1024" s="469"/>
    </row>
    <row r="1025" spans="1:12" s="315" customFormat="1" x14ac:dyDescent="0.25">
      <c r="A1025" s="752"/>
      <c r="B1025" s="469"/>
      <c r="C1025" s="468"/>
      <c r="D1025" s="468"/>
      <c r="E1025" s="323"/>
      <c r="F1025" s="323"/>
      <c r="G1025" s="780"/>
      <c r="H1025" s="760"/>
      <c r="I1025" s="780"/>
      <c r="J1025" s="713"/>
      <c r="K1025" s="468"/>
      <c r="L1025" s="469"/>
    </row>
    <row r="1026" spans="1:12" s="315" customFormat="1" x14ac:dyDescent="0.25">
      <c r="A1026" s="752"/>
      <c r="B1026" s="469"/>
      <c r="C1026" s="468"/>
      <c r="D1026" s="468"/>
      <c r="E1026" s="323"/>
      <c r="F1026" s="323"/>
      <c r="G1026" s="780"/>
      <c r="H1026" s="760"/>
      <c r="I1026" s="780"/>
      <c r="J1026" s="713"/>
      <c r="K1026" s="468"/>
      <c r="L1026" s="469"/>
    </row>
    <row r="1027" spans="1:12" s="315" customFormat="1" x14ac:dyDescent="0.25">
      <c r="A1027" s="752"/>
      <c r="B1027" s="469"/>
      <c r="C1027" s="468"/>
      <c r="D1027" s="468"/>
      <c r="E1027" s="323"/>
      <c r="F1027" s="323"/>
      <c r="G1027" s="780"/>
      <c r="H1027" s="760"/>
      <c r="I1027" s="780"/>
      <c r="J1027" s="713"/>
      <c r="K1027" s="468"/>
      <c r="L1027" s="469"/>
    </row>
    <row r="1028" spans="1:12" s="315" customFormat="1" x14ac:dyDescent="0.25">
      <c r="A1028" s="752"/>
      <c r="B1028" s="469"/>
      <c r="C1028" s="468"/>
      <c r="D1028" s="468"/>
      <c r="E1028" s="323"/>
      <c r="F1028" s="323"/>
      <c r="G1028" s="780"/>
      <c r="H1028" s="760"/>
      <c r="I1028" s="780"/>
      <c r="J1028" s="713"/>
      <c r="K1028" s="468"/>
      <c r="L1028" s="469"/>
    </row>
    <row r="1029" spans="1:12" s="315" customFormat="1" x14ac:dyDescent="0.25">
      <c r="A1029" s="752"/>
      <c r="B1029" s="469"/>
      <c r="C1029" s="468"/>
      <c r="D1029" s="468"/>
      <c r="E1029" s="323"/>
      <c r="F1029" s="323"/>
      <c r="G1029" s="780"/>
      <c r="H1029" s="760"/>
      <c r="I1029" s="780"/>
      <c r="J1029" s="713"/>
      <c r="K1029" s="468"/>
      <c r="L1029" s="469"/>
    </row>
    <row r="1030" spans="1:12" s="315" customFormat="1" x14ac:dyDescent="0.25">
      <c r="A1030" s="752"/>
      <c r="B1030" s="469"/>
      <c r="C1030" s="468"/>
      <c r="D1030" s="468"/>
      <c r="E1030" s="323"/>
      <c r="F1030" s="323"/>
      <c r="G1030" s="780"/>
      <c r="H1030" s="760"/>
      <c r="I1030" s="780"/>
      <c r="J1030" s="713"/>
      <c r="K1030" s="468"/>
      <c r="L1030" s="469"/>
    </row>
    <row r="1031" spans="1:12" s="315" customFormat="1" x14ac:dyDescent="0.25">
      <c r="A1031" s="752"/>
      <c r="B1031" s="469"/>
      <c r="C1031" s="468"/>
      <c r="D1031" s="468"/>
      <c r="E1031" s="323"/>
      <c r="F1031" s="323"/>
      <c r="G1031" s="780"/>
      <c r="H1031" s="760"/>
      <c r="I1031" s="780"/>
      <c r="J1031" s="713"/>
      <c r="K1031" s="468"/>
      <c r="L1031" s="469"/>
    </row>
    <row r="1032" spans="1:12" s="315" customFormat="1" x14ac:dyDescent="0.25">
      <c r="A1032" s="752"/>
      <c r="B1032" s="469"/>
      <c r="C1032" s="468"/>
      <c r="D1032" s="468"/>
      <c r="E1032" s="323"/>
      <c r="F1032" s="323"/>
      <c r="G1032" s="780"/>
      <c r="H1032" s="760"/>
      <c r="I1032" s="780"/>
      <c r="J1032" s="713"/>
      <c r="K1032" s="468"/>
      <c r="L1032" s="469"/>
    </row>
    <row r="1033" spans="1:12" s="315" customFormat="1" x14ac:dyDescent="0.25">
      <c r="A1033" s="752"/>
      <c r="B1033" s="469"/>
      <c r="C1033" s="468"/>
      <c r="D1033" s="468"/>
      <c r="E1033" s="323"/>
      <c r="F1033" s="323"/>
      <c r="G1033" s="780"/>
      <c r="H1033" s="760"/>
      <c r="I1033" s="780"/>
      <c r="J1033" s="713"/>
      <c r="K1033" s="468"/>
      <c r="L1033" s="469"/>
    </row>
    <row r="1034" spans="1:12" s="315" customFormat="1" x14ac:dyDescent="0.25">
      <c r="A1034" s="752"/>
      <c r="B1034" s="469"/>
      <c r="C1034" s="468"/>
      <c r="D1034" s="468"/>
      <c r="E1034" s="323"/>
      <c r="F1034" s="323"/>
      <c r="G1034" s="780"/>
      <c r="H1034" s="760"/>
      <c r="I1034" s="780"/>
      <c r="J1034" s="713"/>
      <c r="K1034" s="468"/>
      <c r="L1034" s="469"/>
    </row>
    <row r="1035" spans="1:12" s="315" customFormat="1" x14ac:dyDescent="0.25">
      <c r="A1035" s="752"/>
      <c r="B1035" s="469"/>
      <c r="C1035" s="468"/>
      <c r="D1035" s="468"/>
      <c r="E1035" s="323"/>
      <c r="F1035" s="323"/>
      <c r="G1035" s="780"/>
      <c r="H1035" s="760"/>
      <c r="I1035" s="780"/>
      <c r="J1035" s="713"/>
      <c r="K1035" s="468"/>
      <c r="L1035" s="469"/>
    </row>
    <row r="1036" spans="1:12" s="315" customFormat="1" x14ac:dyDescent="0.25">
      <c r="A1036" s="752"/>
      <c r="B1036" s="469"/>
      <c r="C1036" s="468"/>
      <c r="D1036" s="468"/>
      <c r="E1036" s="323"/>
      <c r="F1036" s="323"/>
      <c r="G1036" s="780"/>
      <c r="H1036" s="760"/>
      <c r="I1036" s="780"/>
      <c r="J1036" s="713"/>
      <c r="K1036" s="468"/>
      <c r="L1036" s="469"/>
    </row>
    <row r="1037" spans="1:12" s="315" customFormat="1" x14ac:dyDescent="0.25">
      <c r="A1037" s="752"/>
      <c r="B1037" s="469"/>
      <c r="C1037" s="468"/>
      <c r="D1037" s="468"/>
      <c r="E1037" s="323"/>
      <c r="F1037" s="323"/>
      <c r="G1037" s="780"/>
      <c r="H1037" s="760"/>
      <c r="I1037" s="780"/>
      <c r="J1037" s="713"/>
      <c r="K1037" s="468"/>
      <c r="L1037" s="469"/>
    </row>
    <row r="1038" spans="1:12" s="315" customFormat="1" x14ac:dyDescent="0.25">
      <c r="A1038" s="752"/>
      <c r="B1038" s="469"/>
      <c r="C1038" s="468"/>
      <c r="D1038" s="468"/>
      <c r="E1038" s="323"/>
      <c r="F1038" s="323"/>
      <c r="G1038" s="780"/>
      <c r="H1038" s="760"/>
      <c r="I1038" s="780"/>
      <c r="J1038" s="713"/>
      <c r="K1038" s="468"/>
      <c r="L1038" s="469"/>
    </row>
    <row r="1039" spans="1:12" s="315" customFormat="1" x14ac:dyDescent="0.25">
      <c r="A1039" s="752"/>
      <c r="B1039" s="469"/>
      <c r="C1039" s="468"/>
      <c r="D1039" s="468"/>
      <c r="E1039" s="323"/>
      <c r="F1039" s="323"/>
      <c r="G1039" s="780"/>
      <c r="H1039" s="760"/>
      <c r="I1039" s="780"/>
      <c r="J1039" s="713"/>
      <c r="K1039" s="468"/>
      <c r="L1039" s="469"/>
    </row>
    <row r="1040" spans="1:12" s="315" customFormat="1" x14ac:dyDescent="0.25">
      <c r="A1040" s="752"/>
      <c r="B1040" s="469"/>
      <c r="C1040" s="468"/>
      <c r="D1040" s="468"/>
      <c r="E1040" s="323"/>
      <c r="F1040" s="323"/>
      <c r="G1040" s="780"/>
      <c r="H1040" s="760"/>
      <c r="I1040" s="780"/>
      <c r="J1040" s="713"/>
      <c r="K1040" s="468"/>
      <c r="L1040" s="469"/>
    </row>
    <row r="1041" spans="1:12" s="315" customFormat="1" x14ac:dyDescent="0.25">
      <c r="A1041" s="752"/>
      <c r="B1041" s="469"/>
      <c r="C1041" s="468"/>
      <c r="D1041" s="468"/>
      <c r="E1041" s="323"/>
      <c r="F1041" s="323"/>
      <c r="G1041" s="780"/>
      <c r="H1041" s="760"/>
      <c r="I1041" s="780"/>
      <c r="J1041" s="713"/>
      <c r="K1041" s="468"/>
      <c r="L1041" s="469"/>
    </row>
    <row r="1042" spans="1:12" s="315" customFormat="1" x14ac:dyDescent="0.25">
      <c r="A1042" s="752"/>
      <c r="B1042" s="469"/>
      <c r="C1042" s="468"/>
      <c r="D1042" s="468"/>
      <c r="E1042" s="323"/>
      <c r="F1042" s="323"/>
      <c r="G1042" s="780"/>
      <c r="H1042" s="760"/>
      <c r="I1042" s="780"/>
      <c r="J1042" s="713"/>
      <c r="K1042" s="468"/>
      <c r="L1042" s="469"/>
    </row>
    <row r="1043" spans="1:12" s="315" customFormat="1" x14ac:dyDescent="0.25">
      <c r="A1043" s="752"/>
      <c r="B1043" s="469"/>
      <c r="C1043" s="468"/>
      <c r="D1043" s="468"/>
      <c r="E1043" s="323"/>
      <c r="F1043" s="323"/>
      <c r="G1043" s="780"/>
      <c r="H1043" s="760"/>
      <c r="I1043" s="780"/>
      <c r="J1043" s="713"/>
      <c r="K1043" s="468"/>
      <c r="L1043" s="469"/>
    </row>
    <row r="1044" spans="1:12" s="315" customFormat="1" x14ac:dyDescent="0.25">
      <c r="A1044" s="752"/>
      <c r="B1044" s="469"/>
      <c r="C1044" s="468"/>
      <c r="D1044" s="468"/>
      <c r="E1044" s="323"/>
      <c r="F1044" s="323"/>
      <c r="G1044" s="780"/>
      <c r="H1044" s="760"/>
      <c r="I1044" s="780"/>
      <c r="J1044" s="713"/>
      <c r="K1044" s="468"/>
      <c r="L1044" s="469"/>
    </row>
    <row r="1045" spans="1:12" s="315" customFormat="1" x14ac:dyDescent="0.25">
      <c r="A1045" s="752"/>
      <c r="B1045" s="469"/>
      <c r="C1045" s="468"/>
      <c r="D1045" s="468"/>
      <c r="E1045" s="323"/>
      <c r="F1045" s="323"/>
      <c r="G1045" s="780"/>
      <c r="H1045" s="760"/>
      <c r="I1045" s="780"/>
      <c r="J1045" s="713"/>
      <c r="K1045" s="468"/>
      <c r="L1045" s="469"/>
    </row>
    <row r="1046" spans="1:12" s="315" customFormat="1" x14ac:dyDescent="0.25">
      <c r="A1046" s="752"/>
      <c r="B1046" s="469"/>
      <c r="C1046" s="468"/>
      <c r="D1046" s="468"/>
      <c r="E1046" s="323"/>
      <c r="F1046" s="323"/>
      <c r="G1046" s="780"/>
      <c r="H1046" s="760"/>
      <c r="I1046" s="780"/>
      <c r="J1046" s="713"/>
      <c r="K1046" s="468"/>
      <c r="L1046" s="469"/>
    </row>
    <row r="1047" spans="1:12" s="315" customFormat="1" x14ac:dyDescent="0.25">
      <c r="A1047" s="752"/>
      <c r="B1047" s="469"/>
      <c r="C1047" s="468"/>
      <c r="D1047" s="468"/>
      <c r="E1047" s="323"/>
      <c r="F1047" s="323"/>
      <c r="G1047" s="780"/>
      <c r="H1047" s="760"/>
      <c r="I1047" s="780"/>
      <c r="J1047" s="713"/>
      <c r="K1047" s="468"/>
      <c r="L1047" s="469"/>
    </row>
    <row r="1048" spans="1:12" s="315" customFormat="1" x14ac:dyDescent="0.25">
      <c r="A1048" s="752"/>
      <c r="B1048" s="469"/>
      <c r="C1048" s="468"/>
      <c r="D1048" s="468"/>
      <c r="E1048" s="323"/>
      <c r="F1048" s="323"/>
      <c r="G1048" s="780"/>
      <c r="H1048" s="760"/>
      <c r="I1048" s="780"/>
      <c r="J1048" s="713"/>
      <c r="K1048" s="468"/>
      <c r="L1048" s="469"/>
    </row>
    <row r="1049" spans="1:12" s="315" customFormat="1" x14ac:dyDescent="0.25">
      <c r="A1049" s="752"/>
      <c r="B1049" s="469"/>
      <c r="C1049" s="468"/>
      <c r="D1049" s="468"/>
      <c r="E1049" s="323"/>
      <c r="F1049" s="323"/>
      <c r="G1049" s="780"/>
      <c r="H1049" s="760"/>
      <c r="I1049" s="780"/>
      <c r="J1049" s="713"/>
      <c r="K1049" s="468"/>
      <c r="L1049" s="469"/>
    </row>
    <row r="1050" spans="1:12" s="315" customFormat="1" x14ac:dyDescent="0.25">
      <c r="A1050" s="752"/>
      <c r="B1050" s="469"/>
      <c r="C1050" s="468"/>
      <c r="D1050" s="468"/>
      <c r="E1050" s="323"/>
      <c r="F1050" s="323"/>
      <c r="G1050" s="780"/>
      <c r="H1050" s="760"/>
      <c r="I1050" s="780"/>
      <c r="J1050" s="713"/>
      <c r="K1050" s="468"/>
      <c r="L1050" s="469"/>
    </row>
    <row r="1051" spans="1:12" s="315" customFormat="1" x14ac:dyDescent="0.25">
      <c r="A1051" s="752"/>
      <c r="B1051" s="469"/>
      <c r="C1051" s="468"/>
      <c r="D1051" s="468"/>
      <c r="E1051" s="323"/>
      <c r="F1051" s="323"/>
      <c r="G1051" s="780"/>
      <c r="H1051" s="760"/>
      <c r="I1051" s="780"/>
      <c r="J1051" s="713"/>
      <c r="K1051" s="468"/>
      <c r="L1051" s="469"/>
    </row>
    <row r="1052" spans="1:12" s="315" customFormat="1" x14ac:dyDescent="0.25">
      <c r="A1052" s="752"/>
      <c r="B1052" s="469"/>
      <c r="C1052" s="468"/>
      <c r="D1052" s="468"/>
      <c r="E1052" s="323"/>
      <c r="F1052" s="323"/>
      <c r="G1052" s="780"/>
      <c r="H1052" s="760"/>
      <c r="I1052" s="780"/>
      <c r="J1052" s="713"/>
      <c r="K1052" s="468"/>
      <c r="L1052" s="469"/>
    </row>
    <row r="1053" spans="1:12" s="315" customFormat="1" x14ac:dyDescent="0.25">
      <c r="A1053" s="752"/>
      <c r="B1053" s="469"/>
      <c r="C1053" s="468"/>
      <c r="D1053" s="468"/>
      <c r="E1053" s="323"/>
      <c r="F1053" s="323"/>
      <c r="G1053" s="780"/>
      <c r="H1053" s="760"/>
      <c r="I1053" s="780"/>
      <c r="J1053" s="713"/>
      <c r="K1053" s="468"/>
      <c r="L1053" s="469"/>
    </row>
    <row r="1054" spans="1:12" s="315" customFormat="1" x14ac:dyDescent="0.25">
      <c r="A1054" s="752"/>
      <c r="B1054" s="469"/>
      <c r="C1054" s="468"/>
      <c r="D1054" s="468"/>
      <c r="E1054" s="323"/>
      <c r="F1054" s="323"/>
      <c r="G1054" s="780"/>
      <c r="H1054" s="760"/>
      <c r="I1054" s="780"/>
      <c r="J1054" s="713"/>
      <c r="K1054" s="468"/>
      <c r="L1054" s="469"/>
    </row>
    <row r="1055" spans="1:12" s="315" customFormat="1" x14ac:dyDescent="0.25">
      <c r="A1055" s="752"/>
      <c r="B1055" s="469"/>
      <c r="C1055" s="468"/>
      <c r="D1055" s="468"/>
      <c r="E1055" s="323"/>
      <c r="F1055" s="323"/>
      <c r="G1055" s="780"/>
      <c r="H1055" s="760"/>
      <c r="I1055" s="780"/>
      <c r="J1055" s="713"/>
      <c r="K1055" s="468"/>
      <c r="L1055" s="469"/>
    </row>
    <row r="1056" spans="1:12" s="315" customFormat="1" x14ac:dyDescent="0.25">
      <c r="A1056" s="752"/>
      <c r="B1056" s="469"/>
      <c r="C1056" s="468"/>
      <c r="D1056" s="468"/>
      <c r="E1056" s="323"/>
      <c r="F1056" s="323"/>
      <c r="G1056" s="780"/>
      <c r="H1056" s="760"/>
      <c r="I1056" s="780"/>
      <c r="J1056" s="713"/>
      <c r="K1056" s="468"/>
      <c r="L1056" s="469"/>
    </row>
    <row r="1057" spans="1:12" s="315" customFormat="1" x14ac:dyDescent="0.25">
      <c r="A1057" s="752"/>
      <c r="B1057" s="469"/>
      <c r="C1057" s="468"/>
      <c r="D1057" s="468"/>
      <c r="E1057" s="323"/>
      <c r="F1057" s="323"/>
      <c r="G1057" s="780"/>
      <c r="H1057" s="760"/>
      <c r="I1057" s="780"/>
      <c r="J1057" s="713"/>
      <c r="K1057" s="468"/>
      <c r="L1057" s="469"/>
    </row>
    <row r="1058" spans="1:12" s="315" customFormat="1" x14ac:dyDescent="0.25">
      <c r="A1058" s="752"/>
      <c r="B1058" s="469"/>
      <c r="C1058" s="468"/>
      <c r="D1058" s="468"/>
      <c r="E1058" s="323"/>
      <c r="F1058" s="323"/>
      <c r="G1058" s="780"/>
      <c r="H1058" s="760"/>
      <c r="I1058" s="780"/>
      <c r="J1058" s="713"/>
      <c r="K1058" s="468"/>
      <c r="L1058" s="469"/>
    </row>
    <row r="1059" spans="1:12" s="315" customFormat="1" x14ac:dyDescent="0.25">
      <c r="A1059" s="752"/>
      <c r="B1059" s="469"/>
      <c r="C1059" s="468"/>
      <c r="D1059" s="468"/>
      <c r="E1059" s="323"/>
      <c r="F1059" s="323"/>
      <c r="G1059" s="780"/>
      <c r="H1059" s="760"/>
      <c r="I1059" s="780"/>
      <c r="J1059" s="713"/>
      <c r="K1059" s="468"/>
      <c r="L1059" s="469"/>
    </row>
    <row r="1060" spans="1:12" s="315" customFormat="1" x14ac:dyDescent="0.25">
      <c r="A1060" s="752"/>
      <c r="B1060" s="469"/>
      <c r="C1060" s="468"/>
      <c r="D1060" s="468"/>
      <c r="E1060" s="323"/>
      <c r="F1060" s="323"/>
      <c r="G1060" s="780"/>
      <c r="H1060" s="760"/>
      <c r="I1060" s="780"/>
      <c r="J1060" s="713"/>
      <c r="K1060" s="468"/>
      <c r="L1060" s="469"/>
    </row>
    <row r="1061" spans="1:12" s="315" customFormat="1" x14ac:dyDescent="0.25">
      <c r="A1061" s="752"/>
      <c r="B1061" s="469"/>
      <c r="C1061" s="468"/>
      <c r="D1061" s="468"/>
      <c r="E1061" s="323"/>
      <c r="F1061" s="323"/>
      <c r="G1061" s="780"/>
      <c r="H1061" s="760"/>
      <c r="I1061" s="780"/>
      <c r="J1061" s="713"/>
      <c r="K1061" s="468"/>
      <c r="L1061" s="469"/>
    </row>
    <row r="1062" spans="1:12" s="315" customFormat="1" x14ac:dyDescent="0.25">
      <c r="A1062" s="752"/>
      <c r="B1062" s="469"/>
      <c r="C1062" s="468"/>
      <c r="D1062" s="468"/>
      <c r="E1062" s="323"/>
      <c r="F1062" s="323"/>
      <c r="G1062" s="780"/>
      <c r="H1062" s="760"/>
      <c r="I1062" s="780"/>
      <c r="J1062" s="713"/>
      <c r="K1062" s="468"/>
      <c r="L1062" s="469"/>
    </row>
    <row r="1063" spans="1:12" s="315" customFormat="1" x14ac:dyDescent="0.25">
      <c r="A1063" s="752"/>
      <c r="B1063" s="469"/>
      <c r="C1063" s="468"/>
      <c r="D1063" s="468"/>
      <c r="E1063" s="323"/>
      <c r="F1063" s="323"/>
      <c r="G1063" s="780"/>
      <c r="H1063" s="760"/>
      <c r="I1063" s="780"/>
      <c r="J1063" s="713"/>
      <c r="K1063" s="468"/>
      <c r="L1063" s="469"/>
    </row>
    <row r="1064" spans="1:12" s="315" customFormat="1" x14ac:dyDescent="0.25">
      <c r="A1064" s="752"/>
      <c r="B1064" s="469"/>
      <c r="C1064" s="468"/>
      <c r="D1064" s="468"/>
      <c r="E1064" s="323"/>
      <c r="F1064" s="323"/>
      <c r="G1064" s="780"/>
      <c r="H1064" s="760"/>
      <c r="I1064" s="780"/>
      <c r="J1064" s="713"/>
      <c r="K1064" s="468"/>
      <c r="L1064" s="469"/>
    </row>
    <row r="1065" spans="1:12" s="315" customFormat="1" x14ac:dyDescent="0.25">
      <c r="A1065" s="752"/>
      <c r="B1065" s="469"/>
      <c r="C1065" s="468"/>
      <c r="D1065" s="468"/>
      <c r="E1065" s="323"/>
      <c r="F1065" s="323"/>
      <c r="G1065" s="780"/>
      <c r="H1065" s="760"/>
      <c r="I1065" s="780"/>
      <c r="J1065" s="713"/>
      <c r="K1065" s="468"/>
      <c r="L1065" s="469"/>
    </row>
    <row r="1066" spans="1:12" s="315" customFormat="1" x14ac:dyDescent="0.25">
      <c r="A1066" s="752"/>
      <c r="B1066" s="469"/>
      <c r="C1066" s="468"/>
      <c r="D1066" s="468"/>
      <c r="E1066" s="323"/>
      <c r="F1066" s="323"/>
      <c r="G1066" s="780"/>
      <c r="H1066" s="760"/>
      <c r="I1066" s="780"/>
      <c r="J1066" s="713"/>
      <c r="K1066" s="468"/>
      <c r="L1066" s="469"/>
    </row>
    <row r="1067" spans="1:12" s="315" customFormat="1" x14ac:dyDescent="0.25">
      <c r="A1067" s="752"/>
      <c r="B1067" s="469"/>
      <c r="C1067" s="468"/>
      <c r="D1067" s="468"/>
      <c r="E1067" s="323"/>
      <c r="F1067" s="323"/>
      <c r="G1067" s="780"/>
      <c r="H1067" s="760"/>
      <c r="I1067" s="780"/>
      <c r="J1067" s="713"/>
      <c r="K1067" s="468"/>
      <c r="L1067" s="469"/>
    </row>
    <row r="1068" spans="1:12" s="315" customFormat="1" x14ac:dyDescent="0.25">
      <c r="A1068" s="752"/>
      <c r="B1068" s="469"/>
      <c r="C1068" s="468"/>
      <c r="D1068" s="468"/>
      <c r="E1068" s="323"/>
      <c r="F1068" s="323"/>
      <c r="G1068" s="780"/>
      <c r="H1068" s="760"/>
      <c r="I1068" s="780"/>
      <c r="J1068" s="713"/>
      <c r="K1068" s="468"/>
      <c r="L1068" s="469"/>
    </row>
    <row r="1069" spans="1:12" s="315" customFormat="1" x14ac:dyDescent="0.25">
      <c r="A1069" s="752"/>
      <c r="B1069" s="469"/>
      <c r="C1069" s="468"/>
      <c r="D1069" s="468"/>
      <c r="E1069" s="323"/>
      <c r="F1069" s="323"/>
      <c r="G1069" s="780"/>
      <c r="H1069" s="760"/>
      <c r="I1069" s="780"/>
      <c r="J1069" s="713"/>
      <c r="K1069" s="468"/>
      <c r="L1069" s="469"/>
    </row>
    <row r="1070" spans="1:12" s="315" customFormat="1" x14ac:dyDescent="0.25">
      <c r="A1070" s="752"/>
      <c r="B1070" s="469"/>
      <c r="C1070" s="468"/>
      <c r="D1070" s="468"/>
      <c r="E1070" s="323"/>
      <c r="F1070" s="323"/>
      <c r="G1070" s="780"/>
      <c r="H1070" s="760"/>
      <c r="I1070" s="780"/>
      <c r="J1070" s="713"/>
      <c r="K1070" s="468"/>
      <c r="L1070" s="469"/>
    </row>
    <row r="1071" spans="1:12" s="315" customFormat="1" x14ac:dyDescent="0.25">
      <c r="A1071" s="752"/>
      <c r="B1071" s="469"/>
      <c r="C1071" s="468"/>
      <c r="D1071" s="468"/>
      <c r="E1071" s="323"/>
      <c r="F1071" s="323"/>
      <c r="G1071" s="780"/>
      <c r="H1071" s="760"/>
      <c r="I1071" s="780"/>
      <c r="J1071" s="713"/>
      <c r="K1071" s="468"/>
      <c r="L1071" s="469"/>
    </row>
    <row r="1072" spans="1:12" s="315" customFormat="1" x14ac:dyDescent="0.25">
      <c r="A1072" s="752"/>
      <c r="B1072" s="469"/>
      <c r="C1072" s="468"/>
      <c r="D1072" s="468"/>
      <c r="E1072" s="323"/>
      <c r="F1072" s="323"/>
      <c r="G1072" s="780"/>
      <c r="H1072" s="760"/>
      <c r="I1072" s="780"/>
      <c r="J1072" s="713"/>
      <c r="K1072" s="468"/>
      <c r="L1072" s="469"/>
    </row>
    <row r="1073" spans="1:12" s="315" customFormat="1" x14ac:dyDescent="0.25">
      <c r="A1073" s="752"/>
      <c r="B1073" s="469"/>
      <c r="C1073" s="468"/>
      <c r="D1073" s="468"/>
      <c r="E1073" s="323"/>
      <c r="F1073" s="323"/>
      <c r="G1073" s="780"/>
      <c r="H1073" s="760"/>
      <c r="I1073" s="780"/>
      <c r="J1073" s="713"/>
      <c r="K1073" s="468"/>
      <c r="L1073" s="469"/>
    </row>
    <row r="1074" spans="1:12" s="315" customFormat="1" x14ac:dyDescent="0.25">
      <c r="A1074" s="752"/>
      <c r="B1074" s="469"/>
      <c r="C1074" s="468"/>
      <c r="D1074" s="468"/>
      <c r="E1074" s="323"/>
      <c r="F1074" s="323"/>
      <c r="G1074" s="780"/>
      <c r="H1074" s="760"/>
      <c r="I1074" s="780"/>
      <c r="J1074" s="713"/>
      <c r="K1074" s="468"/>
      <c r="L1074" s="469"/>
    </row>
    <row r="1075" spans="1:12" s="315" customFormat="1" x14ac:dyDescent="0.25">
      <c r="A1075" s="752"/>
      <c r="B1075" s="469"/>
      <c r="C1075" s="468"/>
      <c r="D1075" s="468"/>
      <c r="E1075" s="323"/>
      <c r="F1075" s="323"/>
      <c r="G1075" s="780"/>
      <c r="H1075" s="760"/>
      <c r="I1075" s="780"/>
      <c r="J1075" s="713"/>
      <c r="K1075" s="468"/>
      <c r="L1075" s="469"/>
    </row>
    <row r="1076" spans="1:12" s="315" customFormat="1" x14ac:dyDescent="0.25">
      <c r="A1076" s="752"/>
      <c r="B1076" s="469"/>
      <c r="C1076" s="468"/>
      <c r="D1076" s="468"/>
      <c r="E1076" s="323"/>
      <c r="F1076" s="323"/>
      <c r="G1076" s="780"/>
      <c r="H1076" s="760"/>
      <c r="I1076" s="780"/>
      <c r="J1076" s="713"/>
      <c r="K1076" s="468"/>
      <c r="L1076" s="469"/>
    </row>
    <row r="1077" spans="1:12" s="315" customFormat="1" x14ac:dyDescent="0.25">
      <c r="A1077" s="752"/>
      <c r="B1077" s="469"/>
      <c r="C1077" s="468"/>
      <c r="D1077" s="468"/>
      <c r="E1077" s="323"/>
      <c r="F1077" s="323"/>
      <c r="G1077" s="780"/>
      <c r="H1077" s="760"/>
      <c r="I1077" s="780"/>
      <c r="J1077" s="713"/>
      <c r="K1077" s="468"/>
      <c r="L1077" s="469"/>
    </row>
    <row r="1078" spans="1:12" s="315" customFormat="1" x14ac:dyDescent="0.25">
      <c r="A1078" s="752"/>
      <c r="B1078" s="469"/>
      <c r="C1078" s="468"/>
      <c r="D1078" s="468"/>
      <c r="E1078" s="323"/>
      <c r="F1078" s="323"/>
      <c r="G1078" s="780"/>
      <c r="H1078" s="760"/>
      <c r="I1078" s="780"/>
      <c r="J1078" s="713"/>
      <c r="K1078" s="468"/>
      <c r="L1078" s="469"/>
    </row>
    <row r="1079" spans="1:12" s="315" customFormat="1" x14ac:dyDescent="0.25">
      <c r="A1079" s="752"/>
      <c r="B1079" s="469"/>
      <c r="C1079" s="468"/>
      <c r="D1079" s="468"/>
      <c r="E1079" s="323"/>
      <c r="F1079" s="323"/>
      <c r="G1079" s="780"/>
      <c r="H1079" s="760"/>
      <c r="I1079" s="780"/>
      <c r="J1079" s="713"/>
      <c r="K1079" s="468"/>
      <c r="L1079" s="469"/>
    </row>
    <row r="1080" spans="1:12" s="315" customFormat="1" x14ac:dyDescent="0.25">
      <c r="A1080" s="752"/>
      <c r="B1080" s="469"/>
      <c r="C1080" s="468"/>
      <c r="D1080" s="468"/>
      <c r="E1080" s="323"/>
      <c r="F1080" s="323"/>
      <c r="G1080" s="780"/>
      <c r="H1080" s="760"/>
      <c r="I1080" s="780"/>
      <c r="J1080" s="713"/>
      <c r="K1080" s="468"/>
      <c r="L1080" s="469"/>
    </row>
    <row r="1081" spans="1:12" s="315" customFormat="1" x14ac:dyDescent="0.25">
      <c r="A1081" s="752"/>
      <c r="B1081" s="469"/>
      <c r="C1081" s="468"/>
      <c r="D1081" s="468"/>
      <c r="E1081" s="323"/>
      <c r="F1081" s="323"/>
      <c r="G1081" s="780"/>
      <c r="H1081" s="760"/>
      <c r="I1081" s="780"/>
      <c r="J1081" s="713"/>
      <c r="K1081" s="468"/>
      <c r="L1081" s="469"/>
    </row>
    <row r="1082" spans="1:12" s="315" customFormat="1" x14ac:dyDescent="0.25">
      <c r="A1082" s="752"/>
      <c r="B1082" s="469"/>
      <c r="C1082" s="468"/>
      <c r="D1082" s="468"/>
      <c r="E1082" s="323"/>
      <c r="F1082" s="323"/>
      <c r="G1082" s="780"/>
      <c r="H1082" s="760"/>
      <c r="I1082" s="780"/>
      <c r="J1082" s="713"/>
      <c r="K1082" s="468"/>
      <c r="L1082" s="469"/>
    </row>
    <row r="1083" spans="1:12" s="315" customFormat="1" x14ac:dyDescent="0.25">
      <c r="A1083" s="752"/>
      <c r="B1083" s="469"/>
      <c r="C1083" s="468"/>
      <c r="D1083" s="468"/>
      <c r="E1083" s="323"/>
      <c r="F1083" s="323"/>
      <c r="G1083" s="780"/>
      <c r="H1083" s="760"/>
      <c r="I1083" s="780"/>
      <c r="J1083" s="713"/>
      <c r="K1083" s="468"/>
      <c r="L1083" s="469"/>
    </row>
    <row r="1084" spans="1:12" s="315" customFormat="1" x14ac:dyDescent="0.25">
      <c r="A1084" s="752"/>
      <c r="B1084" s="469"/>
      <c r="C1084" s="468"/>
      <c r="D1084" s="468"/>
      <c r="E1084" s="323"/>
      <c r="F1084" s="323"/>
      <c r="G1084" s="780"/>
      <c r="H1084" s="760"/>
      <c r="I1084" s="780"/>
      <c r="J1084" s="713"/>
      <c r="K1084" s="468"/>
      <c r="L1084" s="469"/>
    </row>
    <row r="1085" spans="1:12" s="315" customFormat="1" x14ac:dyDescent="0.25">
      <c r="A1085" s="752"/>
      <c r="B1085" s="469"/>
      <c r="C1085" s="468"/>
      <c r="D1085" s="468"/>
      <c r="E1085" s="323"/>
      <c r="F1085" s="323"/>
      <c r="G1085" s="780"/>
      <c r="H1085" s="760"/>
      <c r="I1085" s="780"/>
      <c r="J1085" s="713"/>
      <c r="K1085" s="468"/>
      <c r="L1085" s="469"/>
    </row>
    <row r="1086" spans="1:12" s="315" customFormat="1" x14ac:dyDescent="0.25">
      <c r="A1086" s="752"/>
      <c r="B1086" s="469"/>
      <c r="C1086" s="468"/>
      <c r="D1086" s="468"/>
      <c r="E1086" s="323"/>
      <c r="F1086" s="323"/>
      <c r="G1086" s="780"/>
      <c r="H1086" s="760"/>
      <c r="I1086" s="780"/>
      <c r="J1086" s="713"/>
      <c r="K1086" s="468"/>
      <c r="L1086" s="469"/>
    </row>
    <row r="1087" spans="1:12" s="315" customFormat="1" x14ac:dyDescent="0.25">
      <c r="A1087" s="752"/>
      <c r="B1087" s="469"/>
      <c r="C1087" s="468"/>
      <c r="D1087" s="468"/>
      <c r="E1087" s="323"/>
      <c r="F1087" s="323"/>
      <c r="G1087" s="780"/>
      <c r="H1087" s="760"/>
      <c r="I1087" s="780"/>
      <c r="J1087" s="713"/>
      <c r="K1087" s="468"/>
      <c r="L1087" s="469"/>
    </row>
    <row r="1088" spans="1:12" s="315" customFormat="1" x14ac:dyDescent="0.25">
      <c r="A1088" s="752"/>
      <c r="B1088" s="469"/>
      <c r="C1088" s="468"/>
      <c r="D1088" s="468"/>
      <c r="E1088" s="323"/>
      <c r="F1088" s="323"/>
      <c r="G1088" s="780"/>
      <c r="H1088" s="760"/>
      <c r="I1088" s="780"/>
      <c r="J1088" s="713"/>
      <c r="K1088" s="468"/>
      <c r="L1088" s="469"/>
    </row>
    <row r="1089" spans="1:12" s="315" customFormat="1" x14ac:dyDescent="0.25">
      <c r="A1089" s="752"/>
      <c r="B1089" s="469"/>
      <c r="C1089" s="468"/>
      <c r="D1089" s="468"/>
      <c r="E1089" s="323"/>
      <c r="F1089" s="323"/>
      <c r="G1089" s="780"/>
      <c r="H1089" s="760"/>
      <c r="I1089" s="780"/>
      <c r="J1089" s="713"/>
      <c r="K1089" s="468"/>
      <c r="L1089" s="469"/>
    </row>
    <row r="1090" spans="1:12" s="315" customFormat="1" x14ac:dyDescent="0.25">
      <c r="A1090" s="752"/>
      <c r="B1090" s="469"/>
      <c r="C1090" s="468"/>
      <c r="D1090" s="468"/>
      <c r="E1090" s="323"/>
      <c r="F1090" s="323"/>
      <c r="G1090" s="780"/>
      <c r="H1090" s="760"/>
      <c r="I1090" s="780"/>
      <c r="J1090" s="713"/>
      <c r="K1090" s="468"/>
      <c r="L1090" s="469"/>
    </row>
    <row r="1091" spans="1:12" s="315" customFormat="1" x14ac:dyDescent="0.25">
      <c r="A1091" s="752"/>
      <c r="B1091" s="469"/>
      <c r="C1091" s="468"/>
      <c r="D1091" s="468"/>
      <c r="E1091" s="323"/>
      <c r="F1091" s="323"/>
      <c r="G1091" s="780"/>
      <c r="H1091" s="760"/>
      <c r="I1091" s="780"/>
      <c r="J1091" s="713"/>
      <c r="K1091" s="468"/>
      <c r="L1091" s="469"/>
    </row>
    <row r="1092" spans="1:12" s="315" customFormat="1" x14ac:dyDescent="0.25">
      <c r="A1092" s="752"/>
      <c r="B1092" s="469"/>
      <c r="C1092" s="468"/>
      <c r="D1092" s="468"/>
      <c r="E1092" s="323"/>
      <c r="F1092" s="323"/>
      <c r="G1092" s="780"/>
      <c r="H1092" s="760"/>
      <c r="I1092" s="780"/>
      <c r="J1092" s="713"/>
      <c r="K1092" s="468"/>
      <c r="L1092" s="469"/>
    </row>
    <row r="1093" spans="1:12" s="315" customFormat="1" x14ac:dyDescent="0.25">
      <c r="A1093" s="752"/>
      <c r="B1093" s="469"/>
      <c r="C1093" s="468"/>
      <c r="D1093" s="468"/>
      <c r="E1093" s="323"/>
      <c r="F1093" s="323"/>
      <c r="G1093" s="780"/>
      <c r="H1093" s="760"/>
      <c r="I1093" s="780"/>
      <c r="J1093" s="713"/>
      <c r="K1093" s="468"/>
      <c r="L1093" s="469"/>
    </row>
    <row r="1094" spans="1:12" s="315" customFormat="1" x14ac:dyDescent="0.25">
      <c r="A1094" s="752"/>
      <c r="B1094" s="469"/>
      <c r="C1094" s="468"/>
      <c r="D1094" s="468"/>
      <c r="E1094" s="323"/>
      <c r="F1094" s="323"/>
      <c r="G1094" s="780"/>
      <c r="H1094" s="760"/>
      <c r="I1094" s="780"/>
      <c r="J1094" s="713"/>
      <c r="K1094" s="468"/>
      <c r="L1094" s="469"/>
    </row>
    <row r="1095" spans="1:12" s="315" customFormat="1" x14ac:dyDescent="0.25">
      <c r="A1095" s="752"/>
      <c r="B1095" s="469"/>
      <c r="C1095" s="468"/>
      <c r="D1095" s="468"/>
      <c r="E1095" s="323"/>
      <c r="F1095" s="323"/>
      <c r="G1095" s="780"/>
      <c r="H1095" s="760"/>
      <c r="I1095" s="780"/>
      <c r="J1095" s="713"/>
      <c r="K1095" s="468"/>
      <c r="L1095" s="469"/>
    </row>
    <row r="1096" spans="1:12" s="315" customFormat="1" x14ac:dyDescent="0.25">
      <c r="A1096" s="752"/>
      <c r="B1096" s="469"/>
      <c r="C1096" s="468"/>
      <c r="D1096" s="468"/>
      <c r="E1096" s="323"/>
      <c r="F1096" s="323"/>
      <c r="G1096" s="780"/>
      <c r="H1096" s="760"/>
      <c r="I1096" s="780"/>
      <c r="J1096" s="713"/>
      <c r="K1096" s="468"/>
      <c r="L1096" s="469"/>
    </row>
    <row r="1097" spans="1:12" s="315" customFormat="1" x14ac:dyDescent="0.25">
      <c r="A1097" s="752"/>
      <c r="B1097" s="469"/>
      <c r="C1097" s="468"/>
      <c r="D1097" s="468"/>
      <c r="E1097" s="323"/>
      <c r="F1097" s="323"/>
      <c r="G1097" s="780"/>
      <c r="H1097" s="760"/>
      <c r="I1097" s="780"/>
      <c r="J1097" s="713"/>
      <c r="K1097" s="468"/>
      <c r="L1097" s="469"/>
    </row>
    <row r="1098" spans="1:12" s="315" customFormat="1" x14ac:dyDescent="0.25">
      <c r="A1098" s="752"/>
      <c r="B1098" s="469"/>
      <c r="C1098" s="468"/>
      <c r="D1098" s="468"/>
      <c r="E1098" s="323"/>
      <c r="F1098" s="323"/>
      <c r="G1098" s="780"/>
      <c r="H1098" s="760"/>
      <c r="I1098" s="780"/>
      <c r="J1098" s="713"/>
      <c r="K1098" s="468"/>
      <c r="L1098" s="469"/>
    </row>
    <row r="1099" spans="1:12" s="315" customFormat="1" x14ac:dyDescent="0.25">
      <c r="A1099" s="752"/>
      <c r="B1099" s="469"/>
      <c r="C1099" s="468"/>
      <c r="D1099" s="468"/>
      <c r="E1099" s="323"/>
      <c r="F1099" s="323"/>
      <c r="G1099" s="780"/>
      <c r="H1099" s="760"/>
      <c r="I1099" s="780"/>
      <c r="J1099" s="713"/>
      <c r="K1099" s="468"/>
      <c r="L1099" s="469"/>
    </row>
    <row r="1100" spans="1:12" s="315" customFormat="1" x14ac:dyDescent="0.25">
      <c r="A1100" s="752"/>
      <c r="B1100" s="469"/>
      <c r="C1100" s="468"/>
      <c r="D1100" s="468"/>
      <c r="E1100" s="323"/>
      <c r="F1100" s="323"/>
      <c r="G1100" s="780"/>
      <c r="H1100" s="760"/>
      <c r="I1100" s="780"/>
      <c r="J1100" s="713"/>
      <c r="K1100" s="468"/>
      <c r="L1100" s="469"/>
    </row>
    <row r="1101" spans="1:12" s="315" customFormat="1" x14ac:dyDescent="0.25">
      <c r="A1101" s="752"/>
      <c r="B1101" s="469"/>
      <c r="C1101" s="468"/>
      <c r="D1101" s="468"/>
      <c r="E1101" s="323"/>
      <c r="F1101" s="323"/>
      <c r="G1101" s="780"/>
      <c r="H1101" s="760"/>
      <c r="I1101" s="780"/>
      <c r="J1101" s="713"/>
      <c r="K1101" s="468"/>
      <c r="L1101" s="469"/>
    </row>
    <row r="1102" spans="1:12" s="315" customFormat="1" x14ac:dyDescent="0.25">
      <c r="A1102" s="752"/>
      <c r="B1102" s="469"/>
      <c r="C1102" s="468"/>
      <c r="D1102" s="468"/>
      <c r="E1102" s="323"/>
      <c r="F1102" s="323"/>
      <c r="G1102" s="780"/>
      <c r="H1102" s="760"/>
      <c r="I1102" s="780"/>
      <c r="J1102" s="713"/>
      <c r="K1102" s="468"/>
      <c r="L1102" s="469"/>
    </row>
    <row r="1103" spans="1:12" s="315" customFormat="1" x14ac:dyDescent="0.25">
      <c r="A1103" s="752"/>
      <c r="B1103" s="469"/>
      <c r="C1103" s="468"/>
      <c r="D1103" s="468"/>
      <c r="E1103" s="323"/>
      <c r="F1103" s="323"/>
      <c r="G1103" s="780"/>
      <c r="H1103" s="760"/>
      <c r="I1103" s="780"/>
      <c r="J1103" s="713"/>
      <c r="K1103" s="468"/>
      <c r="L1103" s="469"/>
    </row>
    <row r="1104" spans="1:12" s="315" customFormat="1" x14ac:dyDescent="0.25">
      <c r="A1104" s="752"/>
      <c r="B1104" s="469"/>
      <c r="C1104" s="468"/>
      <c r="D1104" s="468"/>
      <c r="E1104" s="323"/>
      <c r="F1104" s="323"/>
      <c r="G1104" s="780"/>
      <c r="H1104" s="760"/>
      <c r="I1104" s="780"/>
      <c r="J1104" s="713"/>
      <c r="K1104" s="468"/>
      <c r="L1104" s="469"/>
    </row>
    <row r="1105" spans="1:12" s="315" customFormat="1" x14ac:dyDescent="0.25">
      <c r="A1105" s="752"/>
      <c r="B1105" s="469"/>
      <c r="C1105" s="468"/>
      <c r="D1105" s="468"/>
      <c r="E1105" s="323"/>
      <c r="F1105" s="323"/>
      <c r="G1105" s="780"/>
      <c r="H1105" s="760"/>
      <c r="I1105" s="780"/>
      <c r="J1105" s="713"/>
      <c r="K1105" s="468"/>
      <c r="L1105" s="469"/>
    </row>
    <row r="1106" spans="1:12" s="315" customFormat="1" x14ac:dyDescent="0.25">
      <c r="A1106" s="752"/>
      <c r="B1106" s="469"/>
      <c r="C1106" s="468"/>
      <c r="D1106" s="468"/>
      <c r="E1106" s="323"/>
      <c r="F1106" s="323"/>
      <c r="G1106" s="780"/>
      <c r="H1106" s="760"/>
      <c r="I1106" s="780"/>
      <c r="J1106" s="713"/>
      <c r="K1106" s="468"/>
      <c r="L1106" s="469"/>
    </row>
    <row r="1107" spans="1:12" s="315" customFormat="1" x14ac:dyDescent="0.25">
      <c r="A1107" s="752"/>
      <c r="B1107" s="469"/>
      <c r="C1107" s="468"/>
      <c r="D1107" s="468"/>
      <c r="E1107" s="323"/>
      <c r="F1107" s="323"/>
      <c r="G1107" s="780"/>
      <c r="H1107" s="760"/>
      <c r="I1107" s="780"/>
      <c r="J1107" s="713"/>
      <c r="K1107" s="468"/>
      <c r="L1107" s="469"/>
    </row>
    <row r="1108" spans="1:12" s="315" customFormat="1" x14ac:dyDescent="0.25">
      <c r="A1108" s="752"/>
      <c r="B1108" s="469"/>
      <c r="C1108" s="468"/>
      <c r="D1108" s="468"/>
      <c r="E1108" s="323"/>
      <c r="F1108" s="323"/>
      <c r="G1108" s="780"/>
      <c r="H1108" s="760"/>
      <c r="I1108" s="780"/>
      <c r="J1108" s="713"/>
      <c r="K1108" s="468"/>
      <c r="L1108" s="469"/>
    </row>
    <row r="1109" spans="1:12" s="315" customFormat="1" x14ac:dyDescent="0.25">
      <c r="A1109" s="752"/>
      <c r="B1109" s="469"/>
      <c r="C1109" s="468"/>
      <c r="D1109" s="468"/>
      <c r="E1109" s="323"/>
      <c r="F1109" s="323"/>
      <c r="G1109" s="780"/>
      <c r="H1109" s="760"/>
      <c r="I1109" s="780"/>
      <c r="J1109" s="713"/>
      <c r="K1109" s="468"/>
      <c r="L1109" s="469"/>
    </row>
    <row r="1110" spans="1:12" s="315" customFormat="1" x14ac:dyDescent="0.25">
      <c r="A1110" s="752"/>
      <c r="B1110" s="469"/>
      <c r="C1110" s="468"/>
      <c r="D1110" s="468"/>
      <c r="E1110" s="323"/>
      <c r="F1110" s="323"/>
      <c r="G1110" s="780"/>
      <c r="H1110" s="760"/>
      <c r="I1110" s="780"/>
      <c r="J1110" s="713"/>
      <c r="K1110" s="468"/>
      <c r="L1110" s="469"/>
    </row>
    <row r="1111" spans="1:12" s="315" customFormat="1" x14ac:dyDescent="0.25">
      <c r="A1111" s="752"/>
      <c r="B1111" s="469"/>
      <c r="C1111" s="468"/>
      <c r="D1111" s="468"/>
      <c r="E1111" s="323"/>
      <c r="F1111" s="323"/>
      <c r="G1111" s="780"/>
      <c r="H1111" s="760"/>
      <c r="I1111" s="780"/>
      <c r="J1111" s="713"/>
      <c r="K1111" s="468"/>
      <c r="L1111" s="469"/>
    </row>
    <row r="1112" spans="1:12" s="315" customFormat="1" x14ac:dyDescent="0.25">
      <c r="A1112" s="752"/>
      <c r="B1112" s="469"/>
      <c r="C1112" s="468"/>
      <c r="D1112" s="468"/>
      <c r="E1112" s="323"/>
      <c r="F1112" s="323"/>
      <c r="G1112" s="780"/>
      <c r="H1112" s="760"/>
      <c r="I1112" s="780"/>
      <c r="J1112" s="713"/>
      <c r="K1112" s="468"/>
      <c r="L1112" s="469"/>
    </row>
    <row r="1113" spans="1:12" s="315" customFormat="1" x14ac:dyDescent="0.25">
      <c r="A1113" s="752"/>
      <c r="B1113" s="469"/>
      <c r="C1113" s="468"/>
      <c r="D1113" s="468"/>
      <c r="E1113" s="323"/>
      <c r="F1113" s="323"/>
      <c r="G1113" s="780"/>
      <c r="H1113" s="760"/>
      <c r="I1113" s="780"/>
      <c r="J1113" s="713"/>
      <c r="K1113" s="468"/>
      <c r="L1113" s="469"/>
    </row>
    <row r="1114" spans="1:12" s="315" customFormat="1" x14ac:dyDescent="0.25">
      <c r="A1114" s="752"/>
      <c r="B1114" s="469"/>
      <c r="C1114" s="468"/>
      <c r="D1114" s="468"/>
      <c r="E1114" s="323"/>
      <c r="F1114" s="323"/>
      <c r="G1114" s="780"/>
      <c r="H1114" s="760"/>
      <c r="I1114" s="780"/>
      <c r="J1114" s="713"/>
      <c r="K1114" s="468"/>
      <c r="L1114" s="469"/>
    </row>
    <row r="1115" spans="1:12" s="315" customFormat="1" x14ac:dyDescent="0.25">
      <c r="A1115" s="752"/>
      <c r="B1115" s="469"/>
      <c r="C1115" s="468"/>
      <c r="D1115" s="468"/>
      <c r="E1115" s="323"/>
      <c r="F1115" s="323"/>
      <c r="G1115" s="780"/>
      <c r="H1115" s="760"/>
      <c r="I1115" s="780"/>
      <c r="J1115" s="713"/>
      <c r="K1115" s="468"/>
      <c r="L1115" s="469"/>
    </row>
    <row r="1116" spans="1:12" s="315" customFormat="1" x14ac:dyDescent="0.25">
      <c r="A1116" s="752"/>
      <c r="B1116" s="469"/>
      <c r="C1116" s="468"/>
      <c r="D1116" s="468"/>
      <c r="E1116" s="323"/>
      <c r="F1116" s="323"/>
      <c r="G1116" s="780"/>
      <c r="H1116" s="760"/>
      <c r="I1116" s="780"/>
      <c r="J1116" s="713"/>
      <c r="K1116" s="468"/>
      <c r="L1116" s="469"/>
    </row>
    <row r="1117" spans="1:12" s="315" customFormat="1" x14ac:dyDescent="0.25">
      <c r="A1117" s="752"/>
      <c r="B1117" s="469"/>
      <c r="C1117" s="468"/>
      <c r="D1117" s="468"/>
      <c r="E1117" s="323"/>
      <c r="F1117" s="323"/>
      <c r="G1117" s="780"/>
      <c r="H1117" s="760"/>
      <c r="I1117" s="780"/>
      <c r="J1117" s="713"/>
      <c r="K1117" s="468"/>
      <c r="L1117" s="469"/>
    </row>
    <row r="1118" spans="1:12" s="315" customFormat="1" x14ac:dyDescent="0.25">
      <c r="A1118" s="752"/>
      <c r="B1118" s="469"/>
      <c r="C1118" s="468"/>
      <c r="D1118" s="468"/>
      <c r="E1118" s="323"/>
      <c r="F1118" s="323"/>
      <c r="G1118" s="780"/>
      <c r="H1118" s="760"/>
      <c r="I1118" s="780"/>
      <c r="J1118" s="713"/>
      <c r="K1118" s="468"/>
      <c r="L1118" s="469"/>
    </row>
    <row r="1119" spans="1:12" s="315" customFormat="1" x14ac:dyDescent="0.25">
      <c r="A1119" s="752"/>
      <c r="B1119" s="469"/>
      <c r="C1119" s="468"/>
      <c r="D1119" s="468"/>
      <c r="E1119" s="323"/>
      <c r="F1119" s="323"/>
      <c r="G1119" s="780"/>
      <c r="H1119" s="760"/>
      <c r="I1119" s="780"/>
      <c r="J1119" s="713"/>
      <c r="K1119" s="468"/>
      <c r="L1119" s="469"/>
    </row>
    <row r="1120" spans="1:12" s="315" customFormat="1" x14ac:dyDescent="0.25">
      <c r="A1120" s="752"/>
      <c r="B1120" s="469"/>
      <c r="C1120" s="468"/>
      <c r="D1120" s="468"/>
      <c r="E1120" s="323"/>
      <c r="F1120" s="323"/>
      <c r="G1120" s="780"/>
      <c r="H1120" s="760"/>
      <c r="I1120" s="780"/>
      <c r="J1120" s="713"/>
      <c r="K1120" s="468"/>
      <c r="L1120" s="469"/>
    </row>
    <row r="1121" spans="1:12" s="315" customFormat="1" x14ac:dyDescent="0.25">
      <c r="A1121" s="752"/>
      <c r="B1121" s="469"/>
      <c r="C1121" s="468"/>
      <c r="D1121" s="468"/>
      <c r="E1121" s="323"/>
      <c r="F1121" s="323"/>
      <c r="G1121" s="780"/>
      <c r="H1121" s="760"/>
      <c r="I1121" s="780"/>
      <c r="J1121" s="713"/>
      <c r="K1121" s="468"/>
      <c r="L1121" s="469"/>
    </row>
    <row r="1122" spans="1:12" s="315" customFormat="1" x14ac:dyDescent="0.25">
      <c r="A1122" s="752"/>
      <c r="B1122" s="469"/>
      <c r="C1122" s="468"/>
      <c r="D1122" s="468"/>
      <c r="E1122" s="323"/>
      <c r="F1122" s="323"/>
      <c r="G1122" s="780"/>
      <c r="H1122" s="760"/>
      <c r="I1122" s="780"/>
      <c r="J1122" s="713"/>
      <c r="K1122" s="468"/>
      <c r="L1122" s="469"/>
    </row>
    <row r="1123" spans="1:12" s="315" customFormat="1" x14ac:dyDescent="0.25">
      <c r="A1123" s="752"/>
      <c r="B1123" s="469"/>
      <c r="C1123" s="468"/>
      <c r="D1123" s="468"/>
      <c r="E1123" s="323"/>
      <c r="F1123" s="323"/>
      <c r="G1123" s="780"/>
      <c r="H1123" s="760"/>
      <c r="I1123" s="780"/>
      <c r="J1123" s="713"/>
      <c r="K1123" s="468"/>
      <c r="L1123" s="469"/>
    </row>
    <row r="1124" spans="1:12" s="315" customFormat="1" x14ac:dyDescent="0.25">
      <c r="A1124" s="752"/>
      <c r="B1124" s="469"/>
      <c r="C1124" s="468"/>
      <c r="D1124" s="468"/>
      <c r="E1124" s="323"/>
      <c r="F1124" s="323"/>
      <c r="G1124" s="780"/>
      <c r="H1124" s="760"/>
      <c r="I1124" s="780"/>
      <c r="J1124" s="713"/>
      <c r="K1124" s="468"/>
      <c r="L1124" s="469"/>
    </row>
    <row r="1125" spans="1:12" s="315" customFormat="1" x14ac:dyDescent="0.25">
      <c r="A1125" s="752"/>
      <c r="B1125" s="469"/>
      <c r="C1125" s="468"/>
      <c r="D1125" s="468"/>
      <c r="E1125" s="323"/>
      <c r="F1125" s="323"/>
      <c r="G1125" s="780"/>
      <c r="H1125" s="760"/>
      <c r="I1125" s="780"/>
      <c r="J1125" s="713"/>
      <c r="K1125" s="468"/>
      <c r="L1125" s="469"/>
    </row>
    <row r="1126" spans="1:12" s="315" customFormat="1" x14ac:dyDescent="0.25">
      <c r="A1126" s="752"/>
      <c r="B1126" s="469"/>
      <c r="C1126" s="468"/>
      <c r="D1126" s="468"/>
      <c r="E1126" s="323"/>
      <c r="F1126" s="323"/>
      <c r="G1126" s="780"/>
      <c r="H1126" s="760"/>
      <c r="I1126" s="780"/>
      <c r="J1126" s="713"/>
      <c r="K1126" s="468"/>
      <c r="L1126" s="469"/>
    </row>
    <row r="1127" spans="1:12" s="315" customFormat="1" x14ac:dyDescent="0.25">
      <c r="A1127" s="752"/>
      <c r="B1127" s="469"/>
      <c r="C1127" s="468"/>
      <c r="D1127" s="468"/>
      <c r="E1127" s="323"/>
      <c r="F1127" s="323"/>
      <c r="G1127" s="780"/>
      <c r="H1127" s="760"/>
      <c r="I1127" s="780"/>
      <c r="J1127" s="713"/>
      <c r="K1127" s="468"/>
      <c r="L1127" s="469"/>
    </row>
    <row r="1128" spans="1:12" s="315" customFormat="1" x14ac:dyDescent="0.25">
      <c r="A1128" s="752"/>
      <c r="B1128" s="469"/>
      <c r="C1128" s="468"/>
      <c r="D1128" s="468"/>
      <c r="E1128" s="323"/>
      <c r="F1128" s="323"/>
      <c r="G1128" s="780"/>
      <c r="H1128" s="760"/>
      <c r="I1128" s="780"/>
      <c r="J1128" s="713"/>
      <c r="K1128" s="468"/>
      <c r="L1128" s="469"/>
    </row>
    <row r="1129" spans="1:12" s="315" customFormat="1" x14ac:dyDescent="0.25">
      <c r="A1129" s="752"/>
      <c r="B1129" s="469"/>
      <c r="C1129" s="468"/>
      <c r="D1129" s="468"/>
      <c r="E1129" s="323"/>
      <c r="F1129" s="323"/>
      <c r="G1129" s="780"/>
      <c r="H1129" s="760"/>
      <c r="I1129" s="780"/>
      <c r="J1129" s="713"/>
      <c r="K1129" s="468"/>
      <c r="L1129" s="469"/>
    </row>
    <row r="1130" spans="1:12" s="315" customFormat="1" x14ac:dyDescent="0.25">
      <c r="A1130" s="752"/>
      <c r="B1130" s="469"/>
      <c r="C1130" s="468"/>
      <c r="D1130" s="468"/>
      <c r="E1130" s="323"/>
      <c r="F1130" s="323"/>
      <c r="G1130" s="780"/>
      <c r="H1130" s="760"/>
      <c r="I1130" s="780"/>
      <c r="J1130" s="713"/>
      <c r="K1130" s="468"/>
      <c r="L1130" s="469"/>
    </row>
    <row r="1131" spans="1:12" s="315" customFormat="1" x14ac:dyDescent="0.25">
      <c r="A1131" s="752"/>
      <c r="B1131" s="469"/>
      <c r="C1131" s="468"/>
      <c r="D1131" s="468"/>
      <c r="E1131" s="323"/>
      <c r="F1131" s="323"/>
      <c r="G1131" s="780"/>
      <c r="H1131" s="760"/>
      <c r="I1131" s="780"/>
      <c r="J1131" s="713"/>
      <c r="K1131" s="468"/>
      <c r="L1131" s="469"/>
    </row>
    <row r="1132" spans="1:12" s="315" customFormat="1" x14ac:dyDescent="0.25">
      <c r="A1132" s="752"/>
      <c r="B1132" s="469"/>
      <c r="C1132" s="468"/>
      <c r="D1132" s="468"/>
      <c r="E1132" s="323"/>
      <c r="F1132" s="323"/>
      <c r="G1132" s="780"/>
      <c r="H1132" s="760"/>
      <c r="I1132" s="780"/>
      <c r="J1132" s="713"/>
      <c r="K1132" s="468"/>
      <c r="L1132" s="469"/>
    </row>
    <row r="1133" spans="1:12" s="315" customFormat="1" x14ac:dyDescent="0.25">
      <c r="A1133" s="752"/>
      <c r="B1133" s="469"/>
      <c r="C1133" s="468"/>
      <c r="D1133" s="468"/>
      <c r="E1133" s="323"/>
      <c r="F1133" s="323"/>
      <c r="G1133" s="780"/>
      <c r="H1133" s="760"/>
      <c r="I1133" s="780"/>
      <c r="J1133" s="713"/>
      <c r="K1133" s="468"/>
      <c r="L1133" s="469"/>
    </row>
    <row r="1134" spans="1:12" s="315" customFormat="1" x14ac:dyDescent="0.25">
      <c r="A1134" s="752"/>
      <c r="B1134" s="469"/>
      <c r="C1134" s="468"/>
      <c r="D1134" s="468"/>
      <c r="E1134" s="323"/>
      <c r="F1134" s="323"/>
      <c r="G1134" s="780"/>
      <c r="H1134" s="760"/>
      <c r="I1134" s="780"/>
      <c r="J1134" s="713"/>
      <c r="K1134" s="468"/>
      <c r="L1134" s="469"/>
    </row>
    <row r="1135" spans="1:12" s="315" customFormat="1" x14ac:dyDescent="0.25">
      <c r="A1135" s="752"/>
      <c r="B1135" s="469"/>
      <c r="C1135" s="468"/>
      <c r="D1135" s="468"/>
      <c r="E1135" s="323"/>
      <c r="F1135" s="323"/>
      <c r="G1135" s="780"/>
      <c r="H1135" s="760"/>
      <c r="I1135" s="780"/>
      <c r="J1135" s="713"/>
      <c r="K1135" s="468"/>
      <c r="L1135" s="469"/>
    </row>
    <row r="1136" spans="1:12" s="315" customFormat="1" x14ac:dyDescent="0.25">
      <c r="A1136" s="752"/>
      <c r="B1136" s="469"/>
      <c r="C1136" s="468"/>
      <c r="D1136" s="468"/>
      <c r="E1136" s="323"/>
      <c r="F1136" s="323"/>
      <c r="G1136" s="780"/>
      <c r="H1136" s="760"/>
      <c r="I1136" s="780"/>
      <c r="J1136" s="713"/>
      <c r="K1136" s="468"/>
      <c r="L1136" s="469"/>
    </row>
    <row r="1137" spans="1:12" s="315" customFormat="1" x14ac:dyDescent="0.25">
      <c r="A1137" s="752"/>
      <c r="B1137" s="469"/>
      <c r="C1137" s="468"/>
      <c r="D1137" s="468"/>
      <c r="E1137" s="323"/>
      <c r="F1137" s="323"/>
      <c r="G1137" s="780"/>
      <c r="H1137" s="760"/>
      <c r="I1137" s="780"/>
      <c r="J1137" s="713"/>
      <c r="K1137" s="468"/>
      <c r="L1137" s="469"/>
    </row>
    <row r="1138" spans="1:12" s="315" customFormat="1" x14ac:dyDescent="0.25">
      <c r="A1138" s="752"/>
      <c r="B1138" s="469"/>
      <c r="C1138" s="468"/>
      <c r="D1138" s="468"/>
      <c r="E1138" s="323"/>
      <c r="F1138" s="323"/>
      <c r="G1138" s="780"/>
      <c r="H1138" s="760"/>
      <c r="I1138" s="780"/>
      <c r="J1138" s="713"/>
      <c r="K1138" s="468"/>
      <c r="L1138" s="469"/>
    </row>
    <row r="1139" spans="1:12" s="315" customFormat="1" x14ac:dyDescent="0.25">
      <c r="A1139" s="752"/>
      <c r="B1139" s="469"/>
      <c r="C1139" s="468"/>
      <c r="D1139" s="468"/>
      <c r="E1139" s="323"/>
      <c r="F1139" s="323"/>
      <c r="G1139" s="780"/>
      <c r="H1139" s="760"/>
      <c r="I1139" s="780"/>
      <c r="J1139" s="713"/>
      <c r="K1139" s="468"/>
      <c r="L1139" s="469"/>
    </row>
    <row r="1140" spans="1:12" s="315" customFormat="1" x14ac:dyDescent="0.25">
      <c r="A1140" s="752"/>
      <c r="B1140" s="469"/>
      <c r="C1140" s="468"/>
      <c r="D1140" s="468"/>
      <c r="E1140" s="323"/>
      <c r="F1140" s="323"/>
      <c r="G1140" s="780"/>
      <c r="H1140" s="760"/>
      <c r="I1140" s="780"/>
      <c r="J1140" s="713"/>
      <c r="K1140" s="468"/>
      <c r="L1140" s="469"/>
    </row>
    <row r="1141" spans="1:12" s="315" customFormat="1" x14ac:dyDescent="0.25">
      <c r="A1141" s="752"/>
      <c r="B1141" s="469"/>
      <c r="C1141" s="468"/>
      <c r="D1141" s="468"/>
      <c r="E1141" s="323"/>
      <c r="F1141" s="323"/>
      <c r="G1141" s="780"/>
      <c r="H1141" s="760"/>
      <c r="I1141" s="780"/>
      <c r="J1141" s="713"/>
      <c r="K1141" s="468"/>
      <c r="L1141" s="469"/>
    </row>
    <row r="1142" spans="1:12" s="315" customFormat="1" x14ac:dyDescent="0.25">
      <c r="A1142" s="752"/>
      <c r="B1142" s="469"/>
      <c r="C1142" s="468"/>
      <c r="D1142" s="468"/>
      <c r="E1142" s="323"/>
      <c r="F1142" s="323"/>
      <c r="G1142" s="780"/>
      <c r="H1142" s="760"/>
      <c r="I1142" s="780"/>
      <c r="J1142" s="713"/>
      <c r="K1142" s="468"/>
      <c r="L1142" s="469"/>
    </row>
    <row r="1143" spans="1:12" s="315" customFormat="1" x14ac:dyDescent="0.25">
      <c r="A1143" s="752"/>
      <c r="B1143" s="469"/>
      <c r="C1143" s="468"/>
      <c r="D1143" s="468"/>
      <c r="E1143" s="323"/>
      <c r="F1143" s="323"/>
      <c r="G1143" s="780"/>
      <c r="H1143" s="760"/>
      <c r="I1143" s="780"/>
      <c r="J1143" s="713"/>
      <c r="K1143" s="468"/>
      <c r="L1143" s="469"/>
    </row>
    <row r="1144" spans="1:12" s="315" customFormat="1" x14ac:dyDescent="0.25">
      <c r="A1144" s="752"/>
      <c r="B1144" s="469"/>
      <c r="C1144" s="468"/>
      <c r="D1144" s="468"/>
      <c r="E1144" s="323"/>
      <c r="F1144" s="323"/>
      <c r="G1144" s="780"/>
      <c r="H1144" s="760"/>
      <c r="I1144" s="780"/>
      <c r="J1144" s="713"/>
      <c r="K1144" s="468"/>
      <c r="L1144" s="469"/>
    </row>
    <row r="1145" spans="1:12" s="315" customFormat="1" x14ac:dyDescent="0.25">
      <c r="A1145" s="752"/>
      <c r="B1145" s="469"/>
      <c r="C1145" s="468"/>
      <c r="D1145" s="468"/>
      <c r="E1145" s="323"/>
      <c r="F1145" s="323"/>
      <c r="G1145" s="780"/>
      <c r="H1145" s="760"/>
      <c r="I1145" s="780"/>
      <c r="J1145" s="713"/>
      <c r="K1145" s="468"/>
      <c r="L1145" s="469"/>
    </row>
    <row r="1146" spans="1:12" s="315" customFormat="1" x14ac:dyDescent="0.25">
      <c r="A1146" s="752"/>
      <c r="B1146" s="469"/>
      <c r="C1146" s="468"/>
      <c r="D1146" s="468"/>
      <c r="E1146" s="323"/>
      <c r="F1146" s="323"/>
      <c r="G1146" s="780"/>
      <c r="H1146" s="760"/>
      <c r="I1146" s="780"/>
      <c r="J1146" s="713"/>
      <c r="K1146" s="468"/>
      <c r="L1146" s="469"/>
    </row>
    <row r="1147" spans="1:12" s="315" customFormat="1" x14ac:dyDescent="0.25">
      <c r="A1147" s="752"/>
      <c r="B1147" s="469"/>
      <c r="C1147" s="468"/>
      <c r="D1147" s="468"/>
      <c r="E1147" s="323"/>
      <c r="F1147" s="323"/>
      <c r="G1147" s="780"/>
      <c r="H1147" s="760"/>
      <c r="I1147" s="780"/>
      <c r="J1147" s="713"/>
      <c r="K1147" s="468"/>
      <c r="L1147" s="469"/>
    </row>
    <row r="1148" spans="1:12" s="315" customFormat="1" x14ac:dyDescent="0.25">
      <c r="A1148" s="752"/>
      <c r="B1148" s="469"/>
      <c r="C1148" s="468"/>
      <c r="D1148" s="468"/>
      <c r="E1148" s="323"/>
      <c r="F1148" s="323"/>
      <c r="G1148" s="780"/>
      <c r="H1148" s="760"/>
      <c r="I1148" s="780"/>
      <c r="J1148" s="713"/>
      <c r="K1148" s="468"/>
      <c r="L1148" s="469"/>
    </row>
    <row r="1149" spans="1:12" s="315" customFormat="1" x14ac:dyDescent="0.25">
      <c r="A1149" s="752"/>
      <c r="B1149" s="469"/>
      <c r="C1149" s="468"/>
      <c r="D1149" s="468"/>
      <c r="E1149" s="323"/>
      <c r="F1149" s="323"/>
      <c r="G1149" s="780"/>
      <c r="H1149" s="760"/>
      <c r="I1149" s="780"/>
      <c r="J1149" s="713"/>
      <c r="K1149" s="468"/>
      <c r="L1149" s="469"/>
    </row>
    <row r="1150" spans="1:12" s="315" customFormat="1" x14ac:dyDescent="0.25">
      <c r="A1150" s="752"/>
      <c r="B1150" s="469"/>
      <c r="C1150" s="468"/>
      <c r="D1150" s="468"/>
      <c r="E1150" s="323"/>
      <c r="F1150" s="323"/>
      <c r="G1150" s="780"/>
      <c r="H1150" s="760"/>
      <c r="I1150" s="780"/>
      <c r="J1150" s="713"/>
      <c r="K1150" s="468"/>
      <c r="L1150" s="469"/>
    </row>
    <row r="1151" spans="1:12" s="315" customFormat="1" x14ac:dyDescent="0.25">
      <c r="A1151" s="752"/>
      <c r="B1151" s="469"/>
      <c r="C1151" s="468"/>
      <c r="D1151" s="468"/>
      <c r="E1151" s="323"/>
      <c r="F1151" s="323"/>
      <c r="G1151" s="780"/>
      <c r="H1151" s="760"/>
      <c r="I1151" s="780"/>
      <c r="J1151" s="713"/>
      <c r="K1151" s="468"/>
      <c r="L1151" s="469"/>
    </row>
    <row r="1152" spans="1:12" s="315" customFormat="1" x14ac:dyDescent="0.25">
      <c r="A1152" s="752"/>
      <c r="B1152" s="469"/>
      <c r="C1152" s="468"/>
      <c r="D1152" s="468"/>
      <c r="E1152" s="323"/>
      <c r="F1152" s="323"/>
      <c r="G1152" s="780"/>
      <c r="H1152" s="760"/>
      <c r="I1152" s="780"/>
      <c r="J1152" s="713"/>
      <c r="K1152" s="468"/>
      <c r="L1152" s="469"/>
    </row>
    <row r="1153" spans="1:12" s="315" customFormat="1" x14ac:dyDescent="0.25">
      <c r="A1153" s="752"/>
      <c r="B1153" s="469"/>
      <c r="C1153" s="468"/>
      <c r="D1153" s="468"/>
      <c r="E1153" s="323"/>
      <c r="F1153" s="323"/>
      <c r="G1153" s="780"/>
      <c r="H1153" s="760"/>
      <c r="I1153" s="780"/>
      <c r="J1153" s="713"/>
      <c r="K1153" s="468"/>
      <c r="L1153" s="469"/>
    </row>
    <row r="1154" spans="1:12" s="315" customFormat="1" x14ac:dyDescent="0.25">
      <c r="A1154" s="752"/>
      <c r="B1154" s="469"/>
      <c r="C1154" s="468"/>
      <c r="D1154" s="468"/>
      <c r="E1154" s="323"/>
      <c r="F1154" s="323"/>
      <c r="G1154" s="780"/>
      <c r="H1154" s="760"/>
      <c r="I1154" s="780"/>
      <c r="J1154" s="713"/>
      <c r="K1154" s="468"/>
      <c r="L1154" s="469"/>
    </row>
    <row r="1155" spans="1:12" s="315" customFormat="1" x14ac:dyDescent="0.25">
      <c r="A1155" s="752"/>
      <c r="B1155" s="469"/>
      <c r="C1155" s="468"/>
      <c r="D1155" s="468"/>
      <c r="E1155" s="323"/>
      <c r="F1155" s="323"/>
      <c r="G1155" s="780"/>
      <c r="H1155" s="760"/>
      <c r="I1155" s="780"/>
      <c r="J1155" s="713"/>
      <c r="K1155" s="468"/>
      <c r="L1155" s="469"/>
    </row>
    <row r="1156" spans="1:12" s="315" customFormat="1" x14ac:dyDescent="0.25">
      <c r="A1156" s="752"/>
      <c r="B1156" s="469"/>
      <c r="C1156" s="468"/>
      <c r="D1156" s="468"/>
      <c r="E1156" s="323"/>
      <c r="F1156" s="323"/>
      <c r="G1156" s="780"/>
      <c r="H1156" s="760"/>
      <c r="I1156" s="780"/>
      <c r="J1156" s="713"/>
      <c r="K1156" s="468"/>
      <c r="L1156" s="469"/>
    </row>
    <row r="1157" spans="1:12" s="315" customFormat="1" x14ac:dyDescent="0.25">
      <c r="A1157" s="752"/>
      <c r="B1157" s="469"/>
      <c r="C1157" s="468"/>
      <c r="D1157" s="468"/>
      <c r="E1157" s="323"/>
      <c r="F1157" s="323"/>
      <c r="G1157" s="780"/>
      <c r="H1157" s="760"/>
      <c r="I1157" s="780"/>
      <c r="J1157" s="713"/>
      <c r="K1157" s="468"/>
      <c r="L1157" s="469"/>
    </row>
    <row r="1158" spans="1:12" s="315" customFormat="1" x14ac:dyDescent="0.25">
      <c r="A1158" s="752"/>
      <c r="B1158" s="469"/>
      <c r="C1158" s="468"/>
      <c r="D1158" s="468"/>
      <c r="E1158" s="323"/>
      <c r="F1158" s="323"/>
      <c r="G1158" s="780"/>
      <c r="H1158" s="760"/>
      <c r="I1158" s="780"/>
      <c r="J1158" s="713"/>
      <c r="K1158" s="468"/>
      <c r="L1158" s="469"/>
    </row>
    <row r="1159" spans="1:12" s="315" customFormat="1" x14ac:dyDescent="0.25">
      <c r="A1159" s="752"/>
      <c r="B1159" s="469"/>
      <c r="C1159" s="468"/>
      <c r="D1159" s="468"/>
      <c r="E1159" s="323"/>
      <c r="F1159" s="323"/>
      <c r="G1159" s="780"/>
      <c r="H1159" s="760"/>
      <c r="I1159" s="780"/>
      <c r="J1159" s="713"/>
      <c r="K1159" s="468"/>
      <c r="L1159" s="469"/>
    </row>
    <row r="1160" spans="1:12" s="315" customFormat="1" x14ac:dyDescent="0.25">
      <c r="A1160" s="752"/>
      <c r="B1160" s="469"/>
      <c r="C1160" s="468"/>
      <c r="D1160" s="468"/>
      <c r="E1160" s="323"/>
      <c r="F1160" s="323"/>
      <c r="G1160" s="780"/>
      <c r="H1160" s="760"/>
      <c r="I1160" s="780"/>
      <c r="J1160" s="713"/>
      <c r="K1160" s="468"/>
      <c r="L1160" s="469"/>
    </row>
    <row r="1161" spans="1:12" s="315" customFormat="1" x14ac:dyDescent="0.25">
      <c r="A1161" s="752"/>
      <c r="B1161" s="469"/>
      <c r="C1161" s="468"/>
      <c r="D1161" s="468"/>
      <c r="E1161" s="323"/>
      <c r="F1161" s="323"/>
      <c r="G1161" s="780"/>
      <c r="H1161" s="760"/>
      <c r="I1161" s="780"/>
      <c r="J1161" s="713"/>
      <c r="K1161" s="468"/>
      <c r="L1161" s="469"/>
    </row>
    <row r="1162" spans="1:12" s="315" customFormat="1" x14ac:dyDescent="0.25">
      <c r="A1162" s="752"/>
      <c r="B1162" s="469"/>
      <c r="C1162" s="468"/>
      <c r="D1162" s="468"/>
      <c r="E1162" s="323"/>
      <c r="F1162" s="323"/>
      <c r="G1162" s="780"/>
      <c r="H1162" s="760"/>
      <c r="I1162" s="780"/>
      <c r="J1162" s="713"/>
      <c r="K1162" s="468"/>
      <c r="L1162" s="469"/>
    </row>
    <row r="1163" spans="1:12" s="315" customFormat="1" x14ac:dyDescent="0.25">
      <c r="A1163" s="752"/>
      <c r="B1163" s="469"/>
      <c r="C1163" s="468"/>
      <c r="D1163" s="468"/>
      <c r="E1163" s="323"/>
      <c r="F1163" s="323"/>
      <c r="G1163" s="780"/>
      <c r="H1163" s="760"/>
      <c r="I1163" s="780"/>
      <c r="J1163" s="713"/>
      <c r="K1163" s="468"/>
      <c r="L1163" s="469"/>
    </row>
    <row r="1164" spans="1:12" s="315" customFormat="1" x14ac:dyDescent="0.25">
      <c r="A1164" s="752"/>
      <c r="B1164" s="469"/>
      <c r="C1164" s="468"/>
      <c r="D1164" s="468"/>
      <c r="E1164" s="323"/>
      <c r="F1164" s="323"/>
      <c r="G1164" s="780"/>
      <c r="H1164" s="760"/>
      <c r="I1164" s="780"/>
      <c r="J1164" s="713"/>
      <c r="K1164" s="468"/>
      <c r="L1164" s="469"/>
    </row>
    <row r="1165" spans="1:12" s="315" customFormat="1" x14ac:dyDescent="0.25">
      <c r="A1165" s="752"/>
      <c r="B1165" s="469"/>
      <c r="C1165" s="468"/>
      <c r="D1165" s="468"/>
      <c r="E1165" s="323"/>
      <c r="F1165" s="323"/>
      <c r="G1165" s="780"/>
      <c r="H1165" s="760"/>
      <c r="I1165" s="780"/>
      <c r="J1165" s="713"/>
      <c r="K1165" s="468"/>
      <c r="L1165" s="469"/>
    </row>
    <row r="1166" spans="1:12" s="315" customFormat="1" x14ac:dyDescent="0.25">
      <c r="A1166" s="752"/>
      <c r="B1166" s="469"/>
      <c r="C1166" s="468"/>
      <c r="D1166" s="468"/>
      <c r="E1166" s="323"/>
      <c r="F1166" s="323"/>
      <c r="G1166" s="780"/>
      <c r="H1166" s="760"/>
      <c r="I1166" s="780"/>
      <c r="J1166" s="713"/>
      <c r="K1166" s="468"/>
      <c r="L1166" s="469"/>
    </row>
    <row r="1167" spans="1:12" s="315" customFormat="1" x14ac:dyDescent="0.25">
      <c r="A1167" s="752"/>
      <c r="B1167" s="469"/>
      <c r="C1167" s="468"/>
      <c r="D1167" s="468"/>
      <c r="E1167" s="323"/>
      <c r="F1167" s="323"/>
      <c r="G1167" s="780"/>
      <c r="H1167" s="760"/>
      <c r="I1167" s="780"/>
      <c r="J1167" s="713"/>
      <c r="K1167" s="468"/>
      <c r="L1167" s="469"/>
    </row>
    <row r="1168" spans="1:12" s="315" customFormat="1" x14ac:dyDescent="0.25">
      <c r="A1168" s="752"/>
      <c r="B1168" s="469"/>
      <c r="C1168" s="468"/>
      <c r="D1168" s="468"/>
      <c r="E1168" s="323"/>
      <c r="F1168" s="323"/>
      <c r="G1168" s="780"/>
      <c r="H1168" s="760"/>
      <c r="I1168" s="780"/>
      <c r="J1168" s="713"/>
      <c r="K1168" s="468"/>
      <c r="L1168" s="469"/>
    </row>
    <row r="1169" spans="1:12" s="315" customFormat="1" x14ac:dyDescent="0.25">
      <c r="A1169" s="752"/>
      <c r="B1169" s="469"/>
      <c r="C1169" s="468"/>
      <c r="D1169" s="468"/>
      <c r="E1169" s="323"/>
      <c r="F1169" s="323"/>
      <c r="G1169" s="780"/>
      <c r="H1169" s="760"/>
      <c r="I1169" s="780"/>
      <c r="J1169" s="713"/>
      <c r="K1169" s="468"/>
      <c r="L1169" s="469"/>
    </row>
    <row r="1170" spans="1:12" s="315" customFormat="1" x14ac:dyDescent="0.25">
      <c r="A1170" s="752"/>
      <c r="B1170" s="469"/>
      <c r="C1170" s="468"/>
      <c r="D1170" s="468"/>
      <c r="E1170" s="323"/>
      <c r="F1170" s="323"/>
      <c r="G1170" s="780"/>
      <c r="H1170" s="760"/>
      <c r="I1170" s="780"/>
      <c r="J1170" s="713"/>
      <c r="K1170" s="468"/>
      <c r="L1170" s="469"/>
    </row>
    <row r="1171" spans="1:12" s="315" customFormat="1" x14ac:dyDescent="0.25">
      <c r="A1171" s="752"/>
      <c r="B1171" s="469"/>
      <c r="C1171" s="468"/>
      <c r="D1171" s="468"/>
      <c r="E1171" s="323"/>
      <c r="F1171" s="323"/>
      <c r="G1171" s="780"/>
      <c r="H1171" s="760"/>
      <c r="I1171" s="780"/>
      <c r="J1171" s="713"/>
      <c r="K1171" s="468"/>
      <c r="L1171" s="469"/>
    </row>
    <row r="1172" spans="1:12" s="315" customFormat="1" x14ac:dyDescent="0.25">
      <c r="A1172" s="752"/>
      <c r="B1172" s="469"/>
      <c r="C1172" s="468"/>
      <c r="D1172" s="468"/>
      <c r="E1172" s="323"/>
      <c r="F1172" s="323"/>
      <c r="G1172" s="780"/>
      <c r="H1172" s="760"/>
      <c r="I1172" s="780"/>
      <c r="J1172" s="713"/>
      <c r="K1172" s="468"/>
      <c r="L1172" s="469"/>
    </row>
    <row r="1173" spans="1:12" s="315" customFormat="1" x14ac:dyDescent="0.25">
      <c r="A1173" s="752"/>
      <c r="B1173" s="469"/>
      <c r="C1173" s="468"/>
      <c r="D1173" s="468"/>
      <c r="E1173" s="323"/>
      <c r="F1173" s="323"/>
      <c r="G1173" s="780"/>
      <c r="H1173" s="760"/>
      <c r="I1173" s="780"/>
      <c r="J1173" s="713"/>
      <c r="K1173" s="468"/>
      <c r="L1173" s="469"/>
    </row>
    <row r="1174" spans="1:12" s="315" customFormat="1" x14ac:dyDescent="0.25">
      <c r="A1174" s="752"/>
      <c r="B1174" s="469"/>
      <c r="C1174" s="468"/>
      <c r="D1174" s="468"/>
      <c r="E1174" s="323"/>
      <c r="F1174" s="323"/>
      <c r="G1174" s="780"/>
      <c r="H1174" s="760"/>
      <c r="I1174" s="780"/>
      <c r="J1174" s="713"/>
      <c r="K1174" s="468"/>
      <c r="L1174" s="469"/>
    </row>
    <row r="1175" spans="1:12" s="315" customFormat="1" x14ac:dyDescent="0.25">
      <c r="A1175" s="752"/>
      <c r="B1175" s="469"/>
      <c r="C1175" s="468"/>
      <c r="D1175" s="468"/>
      <c r="E1175" s="323"/>
      <c r="F1175" s="323"/>
      <c r="G1175" s="780"/>
      <c r="H1175" s="760"/>
      <c r="I1175" s="780"/>
      <c r="J1175" s="713"/>
      <c r="K1175" s="468"/>
      <c r="L1175" s="469"/>
    </row>
    <row r="1176" spans="1:12" s="315" customFormat="1" x14ac:dyDescent="0.25">
      <c r="A1176" s="752"/>
      <c r="B1176" s="469"/>
      <c r="C1176" s="468"/>
      <c r="D1176" s="468"/>
      <c r="E1176" s="323"/>
      <c r="F1176" s="323"/>
      <c r="G1176" s="780"/>
      <c r="H1176" s="760"/>
      <c r="I1176" s="780"/>
      <c r="J1176" s="713"/>
      <c r="K1176" s="468"/>
      <c r="L1176" s="469"/>
    </row>
    <row r="1177" spans="1:12" s="315" customFormat="1" x14ac:dyDescent="0.25">
      <c r="A1177" s="752"/>
      <c r="B1177" s="469"/>
      <c r="C1177" s="468"/>
      <c r="D1177" s="468"/>
      <c r="E1177" s="323"/>
      <c r="F1177" s="323"/>
      <c r="G1177" s="780"/>
      <c r="H1177" s="760"/>
      <c r="I1177" s="780"/>
      <c r="J1177" s="713"/>
      <c r="K1177" s="468"/>
      <c r="L1177" s="469"/>
    </row>
    <row r="1178" spans="1:12" s="315" customFormat="1" x14ac:dyDescent="0.25">
      <c r="A1178" s="752"/>
      <c r="B1178" s="469"/>
      <c r="C1178" s="468"/>
      <c r="D1178" s="468"/>
      <c r="E1178" s="323"/>
      <c r="F1178" s="323"/>
      <c r="G1178" s="780"/>
      <c r="H1178" s="760"/>
      <c r="I1178" s="780"/>
      <c r="J1178" s="713"/>
      <c r="K1178" s="468"/>
      <c r="L1178" s="469"/>
    </row>
    <row r="1179" spans="1:12" s="315" customFormat="1" x14ac:dyDescent="0.25">
      <c r="A1179" s="752"/>
      <c r="B1179" s="469"/>
      <c r="C1179" s="468"/>
      <c r="D1179" s="468"/>
      <c r="E1179" s="323"/>
      <c r="F1179" s="323"/>
      <c r="G1179" s="780"/>
      <c r="H1179" s="760"/>
      <c r="I1179" s="780"/>
      <c r="J1179" s="713"/>
      <c r="K1179" s="468"/>
      <c r="L1179" s="469"/>
    </row>
    <row r="1180" spans="1:12" s="315" customFormat="1" x14ac:dyDescent="0.25">
      <c r="A1180" s="752"/>
      <c r="B1180" s="469"/>
      <c r="C1180" s="468"/>
      <c r="D1180" s="468"/>
      <c r="E1180" s="323"/>
      <c r="F1180" s="323"/>
      <c r="G1180" s="780"/>
      <c r="H1180" s="760"/>
      <c r="I1180" s="780"/>
      <c r="J1180" s="713"/>
      <c r="K1180" s="468"/>
      <c r="L1180" s="469"/>
    </row>
    <row r="1181" spans="1:12" s="315" customFormat="1" x14ac:dyDescent="0.25">
      <c r="A1181" s="752"/>
      <c r="B1181" s="469"/>
      <c r="C1181" s="468"/>
      <c r="D1181" s="468"/>
      <c r="E1181" s="323"/>
      <c r="F1181" s="323"/>
      <c r="G1181" s="780"/>
      <c r="H1181" s="760"/>
      <c r="I1181" s="780"/>
      <c r="J1181" s="713"/>
      <c r="K1181" s="468"/>
      <c r="L1181" s="469"/>
    </row>
    <row r="1182" spans="1:12" s="315" customFormat="1" x14ac:dyDescent="0.25">
      <c r="A1182" s="752"/>
      <c r="B1182" s="469"/>
      <c r="C1182" s="468"/>
      <c r="D1182" s="468"/>
      <c r="E1182" s="323"/>
      <c r="F1182" s="323"/>
      <c r="G1182" s="780"/>
      <c r="H1182" s="760"/>
      <c r="I1182" s="780"/>
      <c r="J1182" s="713"/>
      <c r="K1182" s="468"/>
      <c r="L1182" s="469"/>
    </row>
    <row r="1183" spans="1:12" s="315" customFormat="1" x14ac:dyDescent="0.25">
      <c r="A1183" s="752"/>
      <c r="B1183" s="469"/>
      <c r="C1183" s="468"/>
      <c r="D1183" s="468"/>
      <c r="E1183" s="323"/>
      <c r="F1183" s="323"/>
      <c r="G1183" s="780"/>
      <c r="H1183" s="760"/>
      <c r="I1183" s="780"/>
      <c r="J1183" s="713"/>
      <c r="K1183" s="468"/>
      <c r="L1183" s="469"/>
    </row>
    <row r="1184" spans="1:12" s="315" customFormat="1" x14ac:dyDescent="0.25">
      <c r="A1184" s="752"/>
      <c r="B1184" s="469"/>
      <c r="C1184" s="468"/>
      <c r="D1184" s="468"/>
      <c r="E1184" s="323"/>
      <c r="F1184" s="323"/>
      <c r="G1184" s="780"/>
      <c r="H1184" s="760"/>
      <c r="I1184" s="780"/>
      <c r="J1184" s="713"/>
      <c r="K1184" s="468"/>
      <c r="L1184" s="469"/>
    </row>
    <row r="1185" spans="1:12" s="315" customFormat="1" x14ac:dyDescent="0.25">
      <c r="A1185" s="752"/>
      <c r="B1185" s="469"/>
      <c r="C1185" s="468"/>
      <c r="D1185" s="468"/>
      <c r="E1185" s="323"/>
      <c r="F1185" s="323"/>
      <c r="G1185" s="780"/>
      <c r="H1185" s="760"/>
      <c r="I1185" s="780"/>
      <c r="J1185" s="713"/>
      <c r="K1185" s="468"/>
      <c r="L1185" s="469"/>
    </row>
    <row r="1186" spans="1:12" s="315" customFormat="1" x14ac:dyDescent="0.25">
      <c r="A1186" s="752"/>
      <c r="B1186" s="469"/>
      <c r="C1186" s="468"/>
      <c r="D1186" s="468"/>
      <c r="E1186" s="323"/>
      <c r="F1186" s="323"/>
      <c r="G1186" s="780"/>
      <c r="H1186" s="760"/>
      <c r="I1186" s="780"/>
      <c r="J1186" s="713"/>
      <c r="K1186" s="468"/>
      <c r="L1186" s="469"/>
    </row>
    <row r="1187" spans="1:12" s="315" customFormat="1" x14ac:dyDescent="0.25">
      <c r="A1187" s="752"/>
      <c r="B1187" s="469"/>
      <c r="C1187" s="468"/>
      <c r="D1187" s="468"/>
      <c r="E1187" s="323"/>
      <c r="F1187" s="323"/>
      <c r="G1187" s="780"/>
      <c r="H1187" s="760"/>
      <c r="I1187" s="780"/>
      <c r="J1187" s="713"/>
      <c r="K1187" s="468"/>
      <c r="L1187" s="469"/>
    </row>
    <row r="1188" spans="1:12" s="315" customFormat="1" x14ac:dyDescent="0.25">
      <c r="A1188" s="752"/>
      <c r="B1188" s="469"/>
      <c r="C1188" s="468"/>
      <c r="D1188" s="468"/>
      <c r="E1188" s="323"/>
      <c r="F1188" s="323"/>
      <c r="G1188" s="780"/>
      <c r="H1188" s="760"/>
      <c r="I1188" s="780"/>
      <c r="J1188" s="713"/>
      <c r="K1188" s="468"/>
      <c r="L1188" s="469"/>
    </row>
    <row r="1189" spans="1:12" s="315" customFormat="1" x14ac:dyDescent="0.25">
      <c r="A1189" s="752"/>
      <c r="B1189" s="469"/>
      <c r="C1189" s="468"/>
      <c r="D1189" s="468"/>
      <c r="E1189" s="323"/>
      <c r="F1189" s="323"/>
      <c r="G1189" s="780"/>
      <c r="H1189" s="760"/>
      <c r="I1189" s="780"/>
      <c r="J1189" s="713"/>
      <c r="K1189" s="468"/>
      <c r="L1189" s="469"/>
    </row>
    <row r="1190" spans="1:12" s="315" customFormat="1" x14ac:dyDescent="0.25">
      <c r="A1190" s="752"/>
      <c r="B1190" s="469"/>
      <c r="C1190" s="468"/>
      <c r="D1190" s="468"/>
      <c r="E1190" s="323"/>
      <c r="F1190" s="323"/>
      <c r="G1190" s="780"/>
      <c r="H1190" s="760"/>
      <c r="I1190" s="780"/>
      <c r="J1190" s="713"/>
      <c r="K1190" s="468"/>
      <c r="L1190" s="469"/>
    </row>
    <row r="1191" spans="1:12" s="315" customFormat="1" x14ac:dyDescent="0.25">
      <c r="A1191" s="752"/>
      <c r="B1191" s="469"/>
      <c r="C1191" s="468"/>
      <c r="D1191" s="468"/>
      <c r="E1191" s="323"/>
      <c r="F1191" s="323"/>
      <c r="G1191" s="780"/>
      <c r="H1191" s="760"/>
      <c r="I1191" s="780"/>
      <c r="J1191" s="713"/>
      <c r="K1191" s="468"/>
      <c r="L1191" s="469"/>
    </row>
    <row r="1192" spans="1:12" s="315" customFormat="1" x14ac:dyDescent="0.25">
      <c r="A1192" s="752"/>
      <c r="B1192" s="469"/>
      <c r="C1192" s="468"/>
      <c r="D1192" s="468"/>
      <c r="E1192" s="323"/>
      <c r="F1192" s="323"/>
      <c r="G1192" s="780"/>
      <c r="H1192" s="760"/>
      <c r="I1192" s="780"/>
      <c r="J1192" s="713"/>
      <c r="K1192" s="468"/>
      <c r="L1192" s="469"/>
    </row>
    <row r="1193" spans="1:12" s="315" customFormat="1" x14ac:dyDescent="0.25">
      <c r="A1193" s="752"/>
      <c r="B1193" s="469"/>
      <c r="C1193" s="468"/>
      <c r="D1193" s="468"/>
      <c r="E1193" s="323"/>
      <c r="F1193" s="323"/>
      <c r="G1193" s="780"/>
      <c r="H1193" s="760"/>
      <c r="I1193" s="780"/>
      <c r="J1193" s="713"/>
      <c r="K1193" s="468"/>
      <c r="L1193" s="469"/>
    </row>
    <row r="1194" spans="1:12" s="315" customFormat="1" x14ac:dyDescent="0.25">
      <c r="A1194" s="752"/>
      <c r="B1194" s="469"/>
      <c r="C1194" s="468"/>
      <c r="D1194" s="468"/>
      <c r="E1194" s="323"/>
      <c r="F1194" s="323"/>
      <c r="G1194" s="780"/>
      <c r="H1194" s="760"/>
      <c r="I1194" s="780"/>
      <c r="J1194" s="713"/>
      <c r="K1194" s="468"/>
      <c r="L1194" s="469"/>
    </row>
    <row r="1195" spans="1:12" s="315" customFormat="1" x14ac:dyDescent="0.25">
      <c r="A1195" s="752"/>
      <c r="B1195" s="469"/>
      <c r="C1195" s="468"/>
      <c r="D1195" s="468"/>
      <c r="E1195" s="323"/>
      <c r="F1195" s="323"/>
      <c r="G1195" s="780"/>
      <c r="H1195" s="760"/>
      <c r="I1195" s="780"/>
      <c r="J1195" s="713"/>
      <c r="K1195" s="468"/>
      <c r="L1195" s="469"/>
    </row>
    <row r="1196" spans="1:12" s="315" customFormat="1" x14ac:dyDescent="0.25">
      <c r="A1196" s="752"/>
      <c r="B1196" s="469"/>
      <c r="C1196" s="468"/>
      <c r="D1196" s="468"/>
      <c r="E1196" s="323"/>
      <c r="F1196" s="323"/>
      <c r="G1196" s="780"/>
      <c r="H1196" s="760"/>
      <c r="I1196" s="780"/>
      <c r="J1196" s="713"/>
      <c r="K1196" s="468"/>
      <c r="L1196" s="469"/>
    </row>
    <row r="1197" spans="1:12" s="315" customFormat="1" x14ac:dyDescent="0.25">
      <c r="A1197" s="752"/>
      <c r="B1197" s="469"/>
      <c r="C1197" s="468"/>
      <c r="D1197" s="468"/>
      <c r="E1197" s="323"/>
      <c r="F1197" s="323"/>
      <c r="G1197" s="780"/>
      <c r="H1197" s="760"/>
      <c r="I1197" s="780"/>
      <c r="J1197" s="713"/>
      <c r="K1197" s="468"/>
      <c r="L1197" s="469"/>
    </row>
    <row r="1198" spans="1:12" s="315" customFormat="1" x14ac:dyDescent="0.25">
      <c r="A1198" s="752"/>
      <c r="B1198" s="469"/>
      <c r="C1198" s="468"/>
      <c r="D1198" s="468"/>
      <c r="E1198" s="323"/>
      <c r="F1198" s="323"/>
      <c r="G1198" s="780"/>
      <c r="H1198" s="760"/>
      <c r="I1198" s="780"/>
      <c r="J1198" s="713"/>
      <c r="K1198" s="468"/>
      <c r="L1198" s="469"/>
    </row>
    <row r="1199" spans="1:12" s="315" customFormat="1" x14ac:dyDescent="0.25">
      <c r="A1199" s="752"/>
      <c r="B1199" s="469"/>
      <c r="C1199" s="468"/>
      <c r="D1199" s="468"/>
      <c r="E1199" s="323"/>
      <c r="F1199" s="323"/>
      <c r="G1199" s="780"/>
      <c r="H1199" s="760"/>
      <c r="I1199" s="780"/>
      <c r="J1199" s="713"/>
      <c r="K1199" s="468"/>
      <c r="L1199" s="469"/>
    </row>
    <row r="1200" spans="1:12" s="315" customFormat="1" x14ac:dyDescent="0.25">
      <c r="A1200" s="752"/>
      <c r="B1200" s="469"/>
      <c r="C1200" s="468"/>
      <c r="D1200" s="468"/>
      <c r="E1200" s="323"/>
      <c r="F1200" s="323"/>
      <c r="G1200" s="780"/>
      <c r="H1200" s="760"/>
      <c r="I1200" s="780"/>
      <c r="J1200" s="713"/>
      <c r="K1200" s="468"/>
      <c r="L1200" s="469"/>
    </row>
    <row r="1201" spans="1:12" s="315" customFormat="1" x14ac:dyDescent="0.25">
      <c r="A1201" s="752"/>
      <c r="B1201" s="469"/>
      <c r="C1201" s="468"/>
      <c r="D1201" s="468"/>
      <c r="E1201" s="323"/>
      <c r="F1201" s="323"/>
      <c r="G1201" s="780"/>
      <c r="H1201" s="760"/>
      <c r="I1201" s="780"/>
      <c r="J1201" s="713"/>
      <c r="K1201" s="468"/>
      <c r="L1201" s="469"/>
    </row>
    <row r="1202" spans="1:12" s="315" customFormat="1" x14ac:dyDescent="0.25">
      <c r="A1202" s="752"/>
      <c r="B1202" s="469"/>
      <c r="C1202" s="468"/>
      <c r="D1202" s="468"/>
      <c r="E1202" s="323"/>
      <c r="F1202" s="323"/>
      <c r="G1202" s="780"/>
      <c r="H1202" s="760"/>
      <c r="I1202" s="780"/>
      <c r="J1202" s="713"/>
      <c r="K1202" s="468"/>
      <c r="L1202" s="469"/>
    </row>
    <row r="1203" spans="1:12" s="315" customFormat="1" x14ac:dyDescent="0.25">
      <c r="A1203" s="752"/>
      <c r="B1203" s="469"/>
      <c r="C1203" s="468"/>
      <c r="D1203" s="468"/>
      <c r="E1203" s="323"/>
      <c r="F1203" s="323"/>
      <c r="G1203" s="780"/>
      <c r="H1203" s="760"/>
      <c r="I1203" s="780"/>
      <c r="J1203" s="713"/>
      <c r="K1203" s="468"/>
      <c r="L1203" s="469"/>
    </row>
    <row r="1204" spans="1:12" s="315" customFormat="1" x14ac:dyDescent="0.25">
      <c r="A1204" s="752"/>
      <c r="B1204" s="469"/>
      <c r="C1204" s="468"/>
      <c r="D1204" s="468"/>
      <c r="E1204" s="323"/>
      <c r="F1204" s="323"/>
      <c r="G1204" s="780"/>
      <c r="H1204" s="760"/>
      <c r="I1204" s="780"/>
      <c r="J1204" s="713"/>
      <c r="K1204" s="468"/>
      <c r="L1204" s="469"/>
    </row>
    <row r="1205" spans="1:12" s="315" customFormat="1" x14ac:dyDescent="0.25">
      <c r="A1205" s="752"/>
      <c r="B1205" s="469"/>
      <c r="C1205" s="468"/>
      <c r="D1205" s="468"/>
      <c r="E1205" s="323"/>
      <c r="F1205" s="323"/>
      <c r="G1205" s="780"/>
      <c r="H1205" s="760"/>
      <c r="I1205" s="780"/>
      <c r="J1205" s="713"/>
      <c r="K1205" s="468"/>
      <c r="L1205" s="469"/>
    </row>
    <row r="1206" spans="1:12" s="315" customFormat="1" x14ac:dyDescent="0.25">
      <c r="A1206" s="752"/>
      <c r="B1206" s="469"/>
      <c r="C1206" s="468"/>
      <c r="D1206" s="468"/>
      <c r="E1206" s="323"/>
      <c r="F1206" s="323"/>
      <c r="G1206" s="780"/>
      <c r="H1206" s="760"/>
      <c r="I1206" s="780"/>
      <c r="J1206" s="713"/>
      <c r="K1206" s="468"/>
      <c r="L1206" s="469"/>
    </row>
    <row r="1207" spans="1:12" s="315" customFormat="1" x14ac:dyDescent="0.25">
      <c r="A1207" s="752"/>
      <c r="B1207" s="469"/>
      <c r="C1207" s="468"/>
      <c r="D1207" s="468"/>
      <c r="E1207" s="323"/>
      <c r="F1207" s="323"/>
      <c r="G1207" s="780"/>
      <c r="H1207" s="760"/>
      <c r="I1207" s="780"/>
      <c r="J1207" s="713"/>
      <c r="K1207" s="468"/>
      <c r="L1207" s="469"/>
    </row>
    <row r="1208" spans="1:12" s="315" customFormat="1" x14ac:dyDescent="0.25">
      <c r="A1208" s="752"/>
      <c r="B1208" s="469"/>
      <c r="C1208" s="468"/>
      <c r="D1208" s="468"/>
      <c r="E1208" s="323"/>
      <c r="F1208" s="323"/>
      <c r="G1208" s="780"/>
      <c r="H1208" s="760"/>
      <c r="I1208" s="780"/>
      <c r="J1208" s="713"/>
      <c r="K1208" s="468"/>
      <c r="L1208" s="469"/>
    </row>
    <row r="1209" spans="1:12" s="315" customFormat="1" x14ac:dyDescent="0.25">
      <c r="A1209" s="752"/>
      <c r="B1209" s="469"/>
      <c r="C1209" s="468"/>
      <c r="D1209" s="468"/>
      <c r="E1209" s="323"/>
      <c r="F1209" s="323"/>
      <c r="G1209" s="780"/>
      <c r="H1209" s="760"/>
      <c r="I1209" s="780"/>
      <c r="J1209" s="713"/>
      <c r="K1209" s="468"/>
      <c r="L1209" s="469"/>
    </row>
    <row r="1210" spans="1:12" s="315" customFormat="1" x14ac:dyDescent="0.25">
      <c r="A1210" s="752"/>
      <c r="B1210" s="469"/>
      <c r="C1210" s="468"/>
      <c r="D1210" s="468"/>
      <c r="E1210" s="323"/>
      <c r="F1210" s="323"/>
      <c r="G1210" s="780"/>
      <c r="H1210" s="760"/>
      <c r="I1210" s="780"/>
      <c r="J1210" s="713"/>
      <c r="K1210" s="468"/>
      <c r="L1210" s="469"/>
    </row>
    <row r="1211" spans="1:12" s="315" customFormat="1" x14ac:dyDescent="0.25">
      <c r="A1211" s="752"/>
      <c r="B1211" s="469"/>
      <c r="C1211" s="468"/>
      <c r="D1211" s="468"/>
      <c r="E1211" s="323"/>
      <c r="F1211" s="323"/>
      <c r="G1211" s="780"/>
      <c r="H1211" s="760"/>
      <c r="I1211" s="780"/>
      <c r="J1211" s="713"/>
      <c r="K1211" s="468"/>
      <c r="L1211" s="469"/>
    </row>
    <row r="1212" spans="1:12" s="315" customFormat="1" x14ac:dyDescent="0.25">
      <c r="A1212" s="752"/>
      <c r="B1212" s="469"/>
      <c r="C1212" s="468"/>
      <c r="D1212" s="468"/>
      <c r="E1212" s="323"/>
      <c r="F1212" s="323"/>
      <c r="G1212" s="780"/>
      <c r="H1212" s="760"/>
      <c r="I1212" s="780"/>
      <c r="J1212" s="713"/>
      <c r="K1212" s="468"/>
      <c r="L1212" s="469"/>
    </row>
    <row r="1213" spans="1:12" s="315" customFormat="1" x14ac:dyDescent="0.25">
      <c r="A1213" s="752"/>
      <c r="B1213" s="469"/>
      <c r="C1213" s="468"/>
      <c r="D1213" s="468"/>
      <c r="E1213" s="323"/>
      <c r="F1213" s="323"/>
      <c r="G1213" s="780"/>
      <c r="H1213" s="760"/>
      <c r="I1213" s="780"/>
      <c r="J1213" s="713"/>
      <c r="K1213" s="468"/>
      <c r="L1213" s="469"/>
    </row>
    <row r="1214" spans="1:12" s="315" customFormat="1" x14ac:dyDescent="0.25">
      <c r="A1214" s="752"/>
      <c r="B1214" s="469"/>
      <c r="C1214" s="468"/>
      <c r="D1214" s="468"/>
      <c r="E1214" s="323"/>
      <c r="F1214" s="323"/>
      <c r="G1214" s="780"/>
      <c r="H1214" s="760"/>
      <c r="I1214" s="780"/>
      <c r="J1214" s="713"/>
      <c r="K1214" s="468"/>
      <c r="L1214" s="469"/>
    </row>
    <row r="1215" spans="1:12" s="315" customFormat="1" x14ac:dyDescent="0.25">
      <c r="A1215" s="752"/>
      <c r="B1215" s="469"/>
      <c r="C1215" s="468"/>
      <c r="D1215" s="468"/>
      <c r="E1215" s="323"/>
      <c r="F1215" s="323"/>
      <c r="G1215" s="780"/>
      <c r="H1215" s="760"/>
      <c r="I1215" s="780"/>
      <c r="J1215" s="713"/>
      <c r="K1215" s="468"/>
      <c r="L1215" s="469"/>
    </row>
    <row r="1216" spans="1:12" s="315" customFormat="1" x14ac:dyDescent="0.25">
      <c r="A1216" s="752"/>
      <c r="B1216" s="469"/>
      <c r="C1216" s="468"/>
      <c r="D1216" s="468"/>
      <c r="E1216" s="323"/>
      <c r="F1216" s="323"/>
      <c r="G1216" s="780"/>
      <c r="H1216" s="760"/>
      <c r="I1216" s="780"/>
      <c r="J1216" s="713"/>
      <c r="K1216" s="468"/>
      <c r="L1216" s="469"/>
    </row>
    <row r="1217" spans="1:12" s="315" customFormat="1" x14ac:dyDescent="0.25">
      <c r="A1217" s="752"/>
      <c r="B1217" s="469"/>
      <c r="C1217" s="468"/>
      <c r="D1217" s="468"/>
      <c r="E1217" s="323"/>
      <c r="F1217" s="323"/>
      <c r="G1217" s="780"/>
      <c r="H1217" s="760"/>
      <c r="I1217" s="780"/>
      <c r="J1217" s="713"/>
      <c r="K1217" s="468"/>
      <c r="L1217" s="469"/>
    </row>
    <row r="1218" spans="1:12" s="315" customFormat="1" x14ac:dyDescent="0.25">
      <c r="A1218" s="752"/>
      <c r="B1218" s="469"/>
      <c r="C1218" s="468"/>
      <c r="D1218" s="468"/>
      <c r="E1218" s="323"/>
      <c r="F1218" s="323"/>
      <c r="G1218" s="780"/>
      <c r="H1218" s="760"/>
      <c r="I1218" s="780"/>
      <c r="J1218" s="713"/>
      <c r="K1218" s="468"/>
      <c r="L1218" s="469"/>
    </row>
    <row r="1219" spans="1:12" s="315" customFormat="1" x14ac:dyDescent="0.25">
      <c r="A1219" s="752"/>
      <c r="B1219" s="469"/>
      <c r="C1219" s="468"/>
      <c r="D1219" s="468"/>
      <c r="E1219" s="323"/>
      <c r="F1219" s="323"/>
      <c r="G1219" s="780"/>
      <c r="H1219" s="760"/>
      <c r="I1219" s="780"/>
      <c r="J1219" s="713"/>
      <c r="K1219" s="468"/>
      <c r="L1219" s="469"/>
    </row>
    <row r="1220" spans="1:12" s="315" customFormat="1" x14ac:dyDescent="0.25">
      <c r="A1220" s="752"/>
      <c r="B1220" s="469"/>
      <c r="C1220" s="468"/>
      <c r="D1220" s="468"/>
      <c r="E1220" s="323"/>
      <c r="F1220" s="323"/>
      <c r="G1220" s="780"/>
      <c r="H1220" s="760"/>
      <c r="I1220" s="780"/>
      <c r="J1220" s="713"/>
      <c r="K1220" s="468"/>
      <c r="L1220" s="469"/>
    </row>
    <row r="1221" spans="1:12" s="315" customFormat="1" x14ac:dyDescent="0.25">
      <c r="A1221" s="752"/>
      <c r="B1221" s="469"/>
      <c r="C1221" s="468"/>
      <c r="D1221" s="468"/>
      <c r="E1221" s="323"/>
      <c r="F1221" s="323"/>
      <c r="G1221" s="780"/>
      <c r="H1221" s="760"/>
      <c r="I1221" s="780"/>
      <c r="J1221" s="713"/>
      <c r="K1221" s="468"/>
      <c r="L1221" s="469"/>
    </row>
    <row r="1222" spans="1:12" s="315" customFormat="1" x14ac:dyDescent="0.25">
      <c r="A1222" s="752"/>
      <c r="B1222" s="469"/>
      <c r="C1222" s="468"/>
      <c r="D1222" s="468"/>
      <c r="E1222" s="323"/>
      <c r="F1222" s="323"/>
      <c r="G1222" s="780"/>
      <c r="H1222" s="760"/>
      <c r="I1222" s="780"/>
      <c r="J1222" s="713"/>
      <c r="K1222" s="468"/>
      <c r="L1222" s="469"/>
    </row>
    <row r="1223" spans="1:12" s="315" customFormat="1" x14ac:dyDescent="0.25">
      <c r="A1223" s="752"/>
      <c r="B1223" s="469"/>
      <c r="C1223" s="468"/>
      <c r="D1223" s="468"/>
      <c r="E1223" s="323"/>
      <c r="F1223" s="323"/>
      <c r="G1223" s="780"/>
      <c r="H1223" s="760"/>
      <c r="I1223" s="780"/>
      <c r="J1223" s="713"/>
      <c r="K1223" s="468"/>
      <c r="L1223" s="469"/>
    </row>
    <row r="1224" spans="1:12" s="315" customFormat="1" x14ac:dyDescent="0.25">
      <c r="A1224" s="752"/>
      <c r="B1224" s="469"/>
      <c r="C1224" s="468"/>
      <c r="D1224" s="468"/>
      <c r="E1224" s="323"/>
      <c r="F1224" s="323"/>
      <c r="G1224" s="780"/>
      <c r="H1224" s="760"/>
      <c r="I1224" s="780"/>
      <c r="J1224" s="713"/>
      <c r="K1224" s="468"/>
      <c r="L1224" s="469"/>
    </row>
    <row r="1225" spans="1:12" s="315" customFormat="1" x14ac:dyDescent="0.25">
      <c r="A1225" s="752"/>
      <c r="B1225" s="469"/>
      <c r="C1225" s="468"/>
      <c r="D1225" s="468"/>
      <c r="E1225" s="323"/>
      <c r="F1225" s="323"/>
      <c r="G1225" s="780"/>
      <c r="H1225" s="760"/>
      <c r="I1225" s="780"/>
      <c r="J1225" s="713"/>
      <c r="K1225" s="468"/>
      <c r="L1225" s="469"/>
    </row>
    <row r="1226" spans="1:12" s="315" customFormat="1" x14ac:dyDescent="0.25">
      <c r="A1226" s="752"/>
      <c r="B1226" s="469"/>
      <c r="C1226" s="468"/>
      <c r="D1226" s="468"/>
      <c r="E1226" s="323"/>
      <c r="F1226" s="323"/>
      <c r="G1226" s="780"/>
      <c r="H1226" s="760"/>
      <c r="I1226" s="780"/>
      <c r="J1226" s="713"/>
      <c r="K1226" s="468"/>
      <c r="L1226" s="469"/>
    </row>
    <row r="1227" spans="1:12" s="315" customFormat="1" x14ac:dyDescent="0.25">
      <c r="A1227" s="752"/>
      <c r="B1227" s="469"/>
      <c r="C1227" s="468"/>
      <c r="D1227" s="468"/>
      <c r="E1227" s="323"/>
      <c r="F1227" s="323"/>
      <c r="G1227" s="780"/>
      <c r="H1227" s="760"/>
      <c r="I1227" s="780"/>
      <c r="J1227" s="713"/>
      <c r="K1227" s="468"/>
      <c r="L1227" s="469"/>
    </row>
    <row r="1228" spans="1:12" s="315" customFormat="1" x14ac:dyDescent="0.25">
      <c r="A1228" s="752"/>
      <c r="B1228" s="469"/>
      <c r="C1228" s="468"/>
      <c r="D1228" s="468"/>
      <c r="E1228" s="323"/>
      <c r="F1228" s="323"/>
      <c r="G1228" s="780"/>
      <c r="H1228" s="760"/>
      <c r="I1228" s="780"/>
      <c r="J1228" s="713"/>
      <c r="K1228" s="468"/>
      <c r="L1228" s="469"/>
    </row>
    <row r="1229" spans="1:12" s="315" customFormat="1" x14ac:dyDescent="0.25">
      <c r="A1229" s="752"/>
      <c r="B1229" s="469"/>
      <c r="C1229" s="468"/>
      <c r="D1229" s="468"/>
      <c r="E1229" s="323"/>
      <c r="F1229" s="323"/>
      <c r="G1229" s="780"/>
      <c r="H1229" s="760"/>
      <c r="I1229" s="780"/>
      <c r="J1229" s="713"/>
      <c r="K1229" s="468"/>
      <c r="L1229" s="469"/>
    </row>
    <row r="1230" spans="1:12" s="315" customFormat="1" x14ac:dyDescent="0.25">
      <c r="A1230" s="752"/>
      <c r="B1230" s="469"/>
      <c r="C1230" s="468"/>
      <c r="D1230" s="468"/>
      <c r="E1230" s="323"/>
      <c r="F1230" s="323"/>
      <c r="G1230" s="780"/>
      <c r="H1230" s="760"/>
      <c r="I1230" s="780"/>
      <c r="J1230" s="713"/>
      <c r="K1230" s="468"/>
      <c r="L1230" s="469"/>
    </row>
    <row r="1231" spans="1:12" s="315" customFormat="1" x14ac:dyDescent="0.25">
      <c r="A1231" s="752"/>
      <c r="B1231" s="469"/>
      <c r="C1231" s="468"/>
      <c r="D1231" s="468"/>
      <c r="E1231" s="323"/>
      <c r="F1231" s="323"/>
      <c r="G1231" s="780"/>
      <c r="H1231" s="760"/>
      <c r="I1231" s="780"/>
      <c r="J1231" s="713"/>
      <c r="K1231" s="468"/>
      <c r="L1231" s="469"/>
    </row>
    <row r="1232" spans="1:12" s="315" customFormat="1" x14ac:dyDescent="0.25">
      <c r="A1232" s="752"/>
      <c r="B1232" s="469"/>
      <c r="C1232" s="468"/>
      <c r="D1232" s="468"/>
      <c r="E1232" s="323"/>
      <c r="F1232" s="323"/>
      <c r="G1232" s="780"/>
      <c r="H1232" s="760"/>
      <c r="I1232" s="780"/>
      <c r="J1232" s="713"/>
      <c r="K1232" s="468"/>
      <c r="L1232" s="469"/>
    </row>
    <row r="1233" spans="1:12" s="315" customFormat="1" x14ac:dyDescent="0.25">
      <c r="A1233" s="752"/>
      <c r="B1233" s="469"/>
      <c r="C1233" s="468"/>
      <c r="D1233" s="468"/>
      <c r="E1233" s="323"/>
      <c r="F1233" s="323"/>
      <c r="G1233" s="780"/>
      <c r="H1233" s="760"/>
      <c r="I1233" s="780"/>
      <c r="J1233" s="713"/>
      <c r="K1233" s="468"/>
      <c r="L1233" s="469"/>
    </row>
    <row r="1234" spans="1:12" s="315" customFormat="1" x14ac:dyDescent="0.25">
      <c r="A1234" s="752"/>
      <c r="B1234" s="469"/>
      <c r="C1234" s="468"/>
      <c r="D1234" s="468"/>
      <c r="E1234" s="323"/>
      <c r="F1234" s="323"/>
      <c r="G1234" s="780"/>
      <c r="H1234" s="760"/>
      <c r="I1234" s="780"/>
      <c r="J1234" s="713"/>
      <c r="K1234" s="468"/>
      <c r="L1234" s="469"/>
    </row>
    <row r="1235" spans="1:12" s="315" customFormat="1" x14ac:dyDescent="0.25">
      <c r="A1235" s="752"/>
      <c r="B1235" s="469"/>
      <c r="C1235" s="468"/>
      <c r="D1235" s="468"/>
      <c r="E1235" s="323"/>
      <c r="F1235" s="323"/>
      <c r="G1235" s="780"/>
      <c r="H1235" s="760"/>
      <c r="I1235" s="780"/>
      <c r="J1235" s="713"/>
      <c r="K1235" s="468"/>
      <c r="L1235" s="469"/>
    </row>
    <row r="1236" spans="1:12" s="315" customFormat="1" x14ac:dyDescent="0.25">
      <c r="A1236" s="752"/>
      <c r="B1236" s="469"/>
      <c r="C1236" s="468"/>
      <c r="D1236" s="468"/>
      <c r="E1236" s="323"/>
      <c r="F1236" s="323"/>
      <c r="G1236" s="780"/>
      <c r="H1236" s="760"/>
      <c r="I1236" s="780"/>
      <c r="J1236" s="713"/>
      <c r="K1236" s="468"/>
      <c r="L1236" s="469"/>
    </row>
    <row r="1237" spans="1:12" s="315" customFormat="1" x14ac:dyDescent="0.25">
      <c r="A1237" s="752"/>
      <c r="B1237" s="469"/>
      <c r="C1237" s="468"/>
      <c r="D1237" s="468"/>
      <c r="E1237" s="323"/>
      <c r="F1237" s="323"/>
      <c r="G1237" s="780"/>
      <c r="H1237" s="760"/>
      <c r="I1237" s="780"/>
      <c r="J1237" s="713"/>
      <c r="K1237" s="468"/>
      <c r="L1237" s="469"/>
    </row>
    <row r="1238" spans="1:12" s="315" customFormat="1" x14ac:dyDescent="0.25">
      <c r="A1238" s="752"/>
      <c r="B1238" s="469"/>
      <c r="C1238" s="468"/>
      <c r="D1238" s="468"/>
      <c r="E1238" s="323"/>
      <c r="F1238" s="323"/>
      <c r="G1238" s="780"/>
      <c r="H1238" s="760"/>
      <c r="I1238" s="780"/>
      <c r="J1238" s="713"/>
      <c r="K1238" s="468"/>
      <c r="L1238" s="469"/>
    </row>
    <row r="1239" spans="1:12" s="315" customFormat="1" x14ac:dyDescent="0.25">
      <c r="A1239" s="752"/>
      <c r="B1239" s="469"/>
      <c r="C1239" s="468"/>
      <c r="D1239" s="468"/>
      <c r="E1239" s="323"/>
      <c r="F1239" s="323"/>
      <c r="G1239" s="780"/>
      <c r="H1239" s="760"/>
      <c r="I1239" s="780"/>
      <c r="J1239" s="713"/>
      <c r="K1239" s="468"/>
      <c r="L1239" s="469"/>
    </row>
    <row r="1240" spans="1:12" s="315" customFormat="1" x14ac:dyDescent="0.25">
      <c r="A1240" s="752"/>
      <c r="B1240" s="469"/>
      <c r="C1240" s="468"/>
      <c r="D1240" s="468"/>
      <c r="E1240" s="323"/>
      <c r="F1240" s="323"/>
      <c r="G1240" s="780"/>
      <c r="H1240" s="760"/>
      <c r="I1240" s="780"/>
      <c r="J1240" s="713"/>
      <c r="K1240" s="468"/>
      <c r="L1240" s="469"/>
    </row>
    <row r="1241" spans="1:12" s="315" customFormat="1" x14ac:dyDescent="0.25">
      <c r="A1241" s="752"/>
      <c r="B1241" s="469"/>
      <c r="C1241" s="468"/>
      <c r="D1241" s="468"/>
      <c r="E1241" s="323"/>
      <c r="F1241" s="323"/>
      <c r="G1241" s="780"/>
      <c r="H1241" s="760"/>
      <c r="I1241" s="780"/>
      <c r="J1241" s="713"/>
      <c r="K1241" s="468"/>
      <c r="L1241" s="469"/>
    </row>
    <row r="1242" spans="1:12" s="315" customFormat="1" x14ac:dyDescent="0.25">
      <c r="A1242" s="752"/>
      <c r="B1242" s="469"/>
      <c r="C1242" s="468"/>
      <c r="D1242" s="468"/>
      <c r="E1242" s="323"/>
      <c r="F1242" s="323"/>
      <c r="G1242" s="780"/>
      <c r="H1242" s="760"/>
      <c r="I1242" s="780"/>
      <c r="J1242" s="713"/>
      <c r="K1242" s="468"/>
      <c r="L1242" s="469"/>
    </row>
    <row r="1243" spans="1:12" s="315" customFormat="1" x14ac:dyDescent="0.25">
      <c r="A1243" s="752"/>
      <c r="B1243" s="469"/>
      <c r="C1243" s="468"/>
      <c r="D1243" s="468"/>
      <c r="E1243" s="323"/>
      <c r="F1243" s="323"/>
      <c r="G1243" s="780"/>
      <c r="H1243" s="760"/>
      <c r="I1243" s="780"/>
      <c r="J1243" s="713"/>
      <c r="K1243" s="468"/>
      <c r="L1243" s="469"/>
    </row>
    <row r="1244" spans="1:12" s="315" customFormat="1" x14ac:dyDescent="0.25">
      <c r="A1244" s="752"/>
      <c r="B1244" s="469"/>
      <c r="C1244" s="468"/>
      <c r="D1244" s="468"/>
      <c r="E1244" s="323"/>
      <c r="F1244" s="323"/>
      <c r="G1244" s="780"/>
      <c r="H1244" s="760"/>
      <c r="I1244" s="780"/>
      <c r="J1244" s="713"/>
      <c r="K1244" s="468"/>
      <c r="L1244" s="469"/>
    </row>
    <row r="1245" spans="1:12" s="315" customFormat="1" x14ac:dyDescent="0.25">
      <c r="A1245" s="752"/>
      <c r="B1245" s="469"/>
      <c r="C1245" s="468"/>
      <c r="D1245" s="468"/>
      <c r="E1245" s="323"/>
      <c r="F1245" s="323"/>
      <c r="G1245" s="780"/>
      <c r="H1245" s="760"/>
      <c r="I1245" s="780"/>
      <c r="J1245" s="713"/>
      <c r="K1245" s="468"/>
      <c r="L1245" s="469"/>
    </row>
    <row r="1246" spans="1:12" s="315" customFormat="1" x14ac:dyDescent="0.25">
      <c r="A1246" s="752"/>
      <c r="B1246" s="469"/>
      <c r="C1246" s="468"/>
      <c r="D1246" s="468"/>
      <c r="E1246" s="323"/>
      <c r="F1246" s="323"/>
      <c r="G1246" s="780"/>
      <c r="H1246" s="760"/>
      <c r="I1246" s="780"/>
      <c r="J1246" s="713"/>
      <c r="K1246" s="468"/>
      <c r="L1246" s="469"/>
    </row>
    <row r="1247" spans="1:12" s="315" customFormat="1" x14ac:dyDescent="0.25">
      <c r="A1247" s="752"/>
      <c r="B1247" s="469"/>
      <c r="C1247" s="468"/>
      <c r="D1247" s="468"/>
      <c r="E1247" s="323"/>
      <c r="F1247" s="323"/>
      <c r="G1247" s="780"/>
      <c r="H1247" s="760"/>
      <c r="I1247" s="780"/>
      <c r="J1247" s="713"/>
      <c r="K1247" s="468"/>
      <c r="L1247" s="469"/>
    </row>
    <row r="1248" spans="1:12" s="315" customFormat="1" x14ac:dyDescent="0.25">
      <c r="A1248" s="752"/>
      <c r="B1248" s="469"/>
      <c r="C1248" s="468"/>
      <c r="D1248" s="468"/>
      <c r="E1248" s="323"/>
      <c r="F1248" s="323"/>
      <c r="G1248" s="780"/>
      <c r="H1248" s="760"/>
      <c r="I1248" s="780"/>
      <c r="J1248" s="713"/>
      <c r="K1248" s="468"/>
      <c r="L1248" s="469"/>
    </row>
    <row r="1249" spans="1:12" s="315" customFormat="1" x14ac:dyDescent="0.25">
      <c r="A1249" s="752"/>
      <c r="B1249" s="469"/>
      <c r="C1249" s="468"/>
      <c r="D1249" s="468"/>
      <c r="E1249" s="323"/>
      <c r="F1249" s="323"/>
      <c r="G1249" s="780"/>
      <c r="H1249" s="760"/>
      <c r="I1249" s="780"/>
      <c r="J1249" s="713"/>
      <c r="K1249" s="468"/>
      <c r="L1249" s="469"/>
    </row>
    <row r="1250" spans="1:12" s="315" customFormat="1" x14ac:dyDescent="0.25">
      <c r="A1250" s="752"/>
      <c r="B1250" s="469"/>
      <c r="C1250" s="468"/>
      <c r="D1250" s="468"/>
      <c r="E1250" s="323"/>
      <c r="F1250" s="323"/>
      <c r="G1250" s="780"/>
      <c r="H1250" s="760"/>
      <c r="I1250" s="780"/>
      <c r="J1250" s="713"/>
      <c r="K1250" s="468"/>
      <c r="L1250" s="469"/>
    </row>
    <row r="1251" spans="1:12" s="315" customFormat="1" x14ac:dyDescent="0.25">
      <c r="A1251" s="752"/>
      <c r="B1251" s="469"/>
      <c r="C1251" s="468"/>
      <c r="D1251" s="468"/>
      <c r="E1251" s="323"/>
      <c r="F1251" s="323"/>
      <c r="G1251" s="780"/>
      <c r="H1251" s="760"/>
      <c r="I1251" s="780"/>
      <c r="J1251" s="713"/>
      <c r="K1251" s="468"/>
      <c r="L1251" s="469"/>
    </row>
    <row r="1252" spans="1:12" s="315" customFormat="1" x14ac:dyDescent="0.25">
      <c r="A1252" s="752"/>
      <c r="B1252" s="469"/>
      <c r="C1252" s="468"/>
      <c r="D1252" s="468"/>
      <c r="E1252" s="323"/>
      <c r="F1252" s="323"/>
      <c r="G1252" s="780"/>
      <c r="H1252" s="760"/>
      <c r="I1252" s="780"/>
      <c r="J1252" s="713"/>
      <c r="K1252" s="468"/>
      <c r="L1252" s="469"/>
    </row>
    <row r="1253" spans="1:12" s="315" customFormat="1" x14ac:dyDescent="0.25">
      <c r="A1253" s="752"/>
      <c r="B1253" s="469"/>
      <c r="C1253" s="468"/>
      <c r="D1253" s="468"/>
      <c r="E1253" s="323"/>
      <c r="F1253" s="323"/>
      <c r="G1253" s="780"/>
      <c r="H1253" s="760"/>
      <c r="I1253" s="780"/>
      <c r="J1253" s="713"/>
      <c r="K1253" s="468"/>
      <c r="L1253" s="469"/>
    </row>
    <row r="1254" spans="1:12" s="315" customFormat="1" x14ac:dyDescent="0.25">
      <c r="A1254" s="752"/>
      <c r="B1254" s="469"/>
      <c r="C1254" s="468"/>
      <c r="D1254" s="468"/>
      <c r="E1254" s="323"/>
      <c r="F1254" s="323"/>
      <c r="G1254" s="780"/>
      <c r="H1254" s="760"/>
      <c r="I1254" s="780"/>
      <c r="J1254" s="713"/>
      <c r="K1254" s="468"/>
      <c r="L1254" s="469"/>
    </row>
    <row r="1255" spans="1:12" s="315" customFormat="1" x14ac:dyDescent="0.25">
      <c r="A1255" s="752"/>
      <c r="B1255" s="469"/>
      <c r="C1255" s="468"/>
      <c r="D1255" s="468"/>
      <c r="E1255" s="323"/>
      <c r="F1255" s="323"/>
      <c r="G1255" s="780"/>
      <c r="H1255" s="760"/>
      <c r="I1255" s="780"/>
      <c r="J1255" s="713"/>
      <c r="K1255" s="468"/>
      <c r="L1255" s="469"/>
    </row>
    <row r="1256" spans="1:12" s="315" customFormat="1" x14ac:dyDescent="0.25">
      <c r="A1256" s="752"/>
      <c r="B1256" s="469"/>
      <c r="C1256" s="468"/>
      <c r="D1256" s="468"/>
      <c r="E1256" s="323"/>
      <c r="F1256" s="323"/>
      <c r="G1256" s="780"/>
      <c r="H1256" s="760"/>
      <c r="I1256" s="780"/>
      <c r="J1256" s="713"/>
      <c r="K1256" s="468"/>
      <c r="L1256" s="469"/>
    </row>
    <row r="1257" spans="1:12" s="315" customFormat="1" x14ac:dyDescent="0.25">
      <c r="A1257" s="752"/>
      <c r="B1257" s="469"/>
      <c r="C1257" s="468"/>
      <c r="D1257" s="468"/>
      <c r="E1257" s="323"/>
      <c r="F1257" s="323"/>
      <c r="G1257" s="780"/>
      <c r="H1257" s="760"/>
      <c r="I1257" s="780"/>
      <c r="J1257" s="713"/>
      <c r="K1257" s="468"/>
      <c r="L1257" s="469"/>
    </row>
    <row r="1258" spans="1:12" s="315" customFormat="1" x14ac:dyDescent="0.25">
      <c r="A1258" s="752"/>
      <c r="B1258" s="469"/>
      <c r="C1258" s="468"/>
      <c r="D1258" s="468"/>
      <c r="E1258" s="323"/>
      <c r="F1258" s="323"/>
      <c r="G1258" s="780"/>
      <c r="H1258" s="760"/>
      <c r="I1258" s="780"/>
      <c r="J1258" s="713"/>
      <c r="K1258" s="468"/>
      <c r="L1258" s="469"/>
    </row>
    <row r="1259" spans="1:12" s="315" customFormat="1" x14ac:dyDescent="0.25">
      <c r="A1259" s="752"/>
      <c r="B1259" s="469"/>
      <c r="C1259" s="468"/>
      <c r="D1259" s="468"/>
      <c r="E1259" s="323"/>
      <c r="F1259" s="323"/>
      <c r="G1259" s="780"/>
      <c r="H1259" s="760"/>
      <c r="I1259" s="780"/>
      <c r="J1259" s="713"/>
      <c r="K1259" s="468"/>
      <c r="L1259" s="469"/>
    </row>
    <row r="1260" spans="1:12" s="315" customFormat="1" x14ac:dyDescent="0.25">
      <c r="A1260" s="752"/>
      <c r="B1260" s="469"/>
      <c r="C1260" s="468"/>
      <c r="D1260" s="468"/>
      <c r="E1260" s="323"/>
      <c r="F1260" s="323"/>
      <c r="G1260" s="780"/>
      <c r="H1260" s="760"/>
      <c r="I1260" s="780"/>
      <c r="J1260" s="713"/>
      <c r="K1260" s="468"/>
      <c r="L1260" s="469"/>
    </row>
    <row r="1261" spans="1:12" s="315" customFormat="1" x14ac:dyDescent="0.25">
      <c r="A1261" s="752"/>
      <c r="B1261" s="469"/>
      <c r="C1261" s="468"/>
      <c r="D1261" s="468"/>
      <c r="E1261" s="323"/>
      <c r="F1261" s="323"/>
      <c r="G1261" s="780"/>
      <c r="H1261" s="760"/>
      <c r="I1261" s="780"/>
      <c r="J1261" s="713"/>
      <c r="K1261" s="468"/>
      <c r="L1261" s="469"/>
    </row>
    <row r="1262" spans="1:12" s="315" customFormat="1" x14ac:dyDescent="0.25">
      <c r="A1262" s="752"/>
      <c r="B1262" s="469"/>
      <c r="C1262" s="468"/>
      <c r="D1262" s="468"/>
      <c r="E1262" s="323"/>
      <c r="F1262" s="323"/>
      <c r="G1262" s="780"/>
      <c r="H1262" s="760"/>
      <c r="I1262" s="780"/>
      <c r="J1262" s="713"/>
      <c r="K1262" s="468"/>
      <c r="L1262" s="469"/>
    </row>
    <row r="1263" spans="1:12" s="315" customFormat="1" x14ac:dyDescent="0.25">
      <c r="A1263" s="752"/>
      <c r="B1263" s="469"/>
      <c r="C1263" s="468"/>
      <c r="D1263" s="468"/>
      <c r="E1263" s="323"/>
      <c r="F1263" s="323"/>
      <c r="G1263" s="780"/>
      <c r="H1263" s="760"/>
      <c r="I1263" s="780"/>
      <c r="J1263" s="713"/>
      <c r="K1263" s="468"/>
      <c r="L1263" s="469"/>
    </row>
    <row r="1264" spans="1:12" s="315" customFormat="1" x14ac:dyDescent="0.25">
      <c r="A1264" s="752"/>
      <c r="B1264" s="469"/>
      <c r="C1264" s="468"/>
      <c r="D1264" s="468"/>
      <c r="E1264" s="323"/>
      <c r="F1264" s="323"/>
      <c r="G1264" s="780"/>
      <c r="H1264" s="760"/>
      <c r="I1264" s="780"/>
      <c r="J1264" s="713"/>
      <c r="K1264" s="468"/>
      <c r="L1264" s="469"/>
    </row>
    <row r="1265" spans="1:12" s="315" customFormat="1" x14ac:dyDescent="0.25">
      <c r="A1265" s="752"/>
      <c r="B1265" s="469"/>
      <c r="C1265" s="468"/>
      <c r="D1265" s="468"/>
      <c r="E1265" s="323"/>
      <c r="F1265" s="323"/>
      <c r="G1265" s="780"/>
      <c r="H1265" s="760"/>
      <c r="I1265" s="780"/>
      <c r="J1265" s="713"/>
      <c r="K1265" s="468"/>
      <c r="L1265" s="469"/>
    </row>
    <row r="1266" spans="1:12" s="315" customFormat="1" x14ac:dyDescent="0.25">
      <c r="A1266" s="752"/>
      <c r="B1266" s="469"/>
      <c r="C1266" s="468"/>
      <c r="D1266" s="468"/>
      <c r="E1266" s="323"/>
      <c r="F1266" s="323"/>
      <c r="G1266" s="780"/>
      <c r="H1266" s="760"/>
      <c r="I1266" s="780"/>
      <c r="J1266" s="713"/>
      <c r="K1266" s="468"/>
      <c r="L1266" s="469"/>
    </row>
    <row r="1267" spans="1:12" s="315" customFormat="1" x14ac:dyDescent="0.25">
      <c r="A1267" s="752"/>
      <c r="B1267" s="469"/>
      <c r="C1267" s="468"/>
      <c r="D1267" s="468"/>
      <c r="E1267" s="323"/>
      <c r="F1267" s="323"/>
      <c r="G1267" s="780"/>
      <c r="H1267" s="760"/>
      <c r="I1267" s="780"/>
      <c r="J1267" s="713"/>
      <c r="K1267" s="468"/>
      <c r="L1267" s="469"/>
    </row>
    <row r="1268" spans="1:12" s="315" customFormat="1" x14ac:dyDescent="0.25">
      <c r="A1268" s="752"/>
      <c r="B1268" s="469"/>
      <c r="C1268" s="468"/>
      <c r="D1268" s="468"/>
      <c r="E1268" s="323"/>
      <c r="F1268" s="323"/>
      <c r="G1268" s="780"/>
      <c r="H1268" s="760"/>
      <c r="I1268" s="780"/>
      <c r="J1268" s="713"/>
      <c r="K1268" s="468"/>
      <c r="L1268" s="469"/>
    </row>
    <row r="1269" spans="1:12" s="315" customFormat="1" x14ac:dyDescent="0.25">
      <c r="A1269" s="752"/>
      <c r="B1269" s="469"/>
      <c r="C1269" s="468"/>
      <c r="D1269" s="468"/>
      <c r="E1269" s="323"/>
      <c r="F1269" s="323"/>
      <c r="G1269" s="780"/>
      <c r="H1269" s="760"/>
      <c r="I1269" s="780"/>
      <c r="J1269" s="713"/>
      <c r="K1269" s="468"/>
      <c r="L1269" s="469"/>
    </row>
    <row r="1270" spans="1:12" s="315" customFormat="1" x14ac:dyDescent="0.25">
      <c r="A1270" s="752"/>
      <c r="B1270" s="469"/>
      <c r="C1270" s="468"/>
      <c r="D1270" s="468"/>
      <c r="E1270" s="323"/>
      <c r="F1270" s="323"/>
      <c r="G1270" s="780"/>
      <c r="H1270" s="760"/>
      <c r="I1270" s="780"/>
      <c r="J1270" s="713"/>
      <c r="K1270" s="468"/>
      <c r="L1270" s="469"/>
    </row>
    <row r="1271" spans="1:12" s="315" customFormat="1" x14ac:dyDescent="0.25">
      <c r="A1271" s="752"/>
      <c r="B1271" s="469"/>
      <c r="C1271" s="468"/>
      <c r="D1271" s="468"/>
      <c r="E1271" s="323"/>
      <c r="F1271" s="323"/>
      <c r="G1271" s="780"/>
      <c r="H1271" s="760"/>
      <c r="I1271" s="780"/>
      <c r="J1271" s="713"/>
      <c r="K1271" s="468"/>
      <c r="L1271" s="469"/>
    </row>
    <row r="1272" spans="1:12" s="315" customFormat="1" x14ac:dyDescent="0.25">
      <c r="A1272" s="752"/>
      <c r="B1272" s="469"/>
      <c r="C1272" s="468"/>
      <c r="D1272" s="468"/>
      <c r="E1272" s="323"/>
      <c r="F1272" s="323"/>
      <c r="G1272" s="780"/>
      <c r="H1272" s="760"/>
      <c r="I1272" s="780"/>
      <c r="J1272" s="713"/>
      <c r="K1272" s="468"/>
      <c r="L1272" s="469"/>
    </row>
    <row r="1273" spans="1:12" s="315" customFormat="1" x14ac:dyDescent="0.25">
      <c r="A1273" s="752"/>
      <c r="B1273" s="469"/>
      <c r="C1273" s="468"/>
      <c r="D1273" s="468"/>
      <c r="E1273" s="323"/>
      <c r="F1273" s="323"/>
      <c r="G1273" s="780"/>
      <c r="H1273" s="760"/>
      <c r="I1273" s="780"/>
      <c r="J1273" s="713"/>
      <c r="K1273" s="468"/>
      <c r="L1273" s="469"/>
    </row>
    <row r="1274" spans="1:12" s="315" customFormat="1" x14ac:dyDescent="0.25">
      <c r="A1274" s="752"/>
      <c r="B1274" s="469"/>
      <c r="C1274" s="468"/>
      <c r="D1274" s="468"/>
      <c r="E1274" s="323"/>
      <c r="F1274" s="323"/>
      <c r="G1274" s="780"/>
      <c r="H1274" s="760"/>
      <c r="I1274" s="780"/>
      <c r="J1274" s="713"/>
      <c r="K1274" s="468"/>
      <c r="L1274" s="469"/>
    </row>
    <row r="1275" spans="1:12" s="315" customFormat="1" x14ac:dyDescent="0.25">
      <c r="A1275" s="752"/>
      <c r="B1275" s="469"/>
      <c r="C1275" s="468"/>
      <c r="D1275" s="468"/>
      <c r="E1275" s="323"/>
      <c r="F1275" s="323"/>
      <c r="G1275" s="780"/>
      <c r="H1275" s="760"/>
      <c r="I1275" s="780"/>
      <c r="J1275" s="713"/>
      <c r="K1275" s="468"/>
      <c r="L1275" s="469"/>
    </row>
    <row r="1276" spans="1:12" s="315" customFormat="1" x14ac:dyDescent="0.25">
      <c r="A1276" s="752"/>
      <c r="B1276" s="469"/>
      <c r="C1276" s="468"/>
      <c r="D1276" s="468"/>
      <c r="E1276" s="323"/>
      <c r="F1276" s="323"/>
      <c r="G1276" s="780"/>
      <c r="H1276" s="760"/>
      <c r="I1276" s="780"/>
      <c r="J1276" s="713"/>
      <c r="K1276" s="468"/>
      <c r="L1276" s="469"/>
    </row>
    <row r="1277" spans="1:12" s="315" customFormat="1" x14ac:dyDescent="0.25">
      <c r="A1277" s="752"/>
      <c r="B1277" s="469"/>
      <c r="C1277" s="468"/>
      <c r="D1277" s="468"/>
      <c r="E1277" s="323"/>
      <c r="F1277" s="323"/>
      <c r="G1277" s="780"/>
      <c r="H1277" s="760"/>
      <c r="I1277" s="780"/>
      <c r="J1277" s="713"/>
      <c r="K1277" s="468"/>
      <c r="L1277" s="469"/>
    </row>
    <row r="1278" spans="1:12" s="315" customFormat="1" x14ac:dyDescent="0.25">
      <c r="A1278" s="752"/>
      <c r="B1278" s="469"/>
      <c r="C1278" s="468"/>
      <c r="D1278" s="468"/>
      <c r="E1278" s="323"/>
      <c r="F1278" s="323"/>
      <c r="G1278" s="780"/>
      <c r="H1278" s="760"/>
      <c r="I1278" s="780"/>
      <c r="J1278" s="713"/>
      <c r="K1278" s="468"/>
      <c r="L1278" s="469"/>
    </row>
    <row r="1279" spans="1:12" s="315" customFormat="1" x14ac:dyDescent="0.25">
      <c r="A1279" s="752"/>
      <c r="B1279" s="469"/>
      <c r="C1279" s="468"/>
      <c r="D1279" s="468"/>
      <c r="E1279" s="323"/>
      <c r="F1279" s="323"/>
      <c r="G1279" s="780"/>
      <c r="H1279" s="760"/>
      <c r="I1279" s="780"/>
      <c r="J1279" s="713"/>
      <c r="K1279" s="468"/>
      <c r="L1279" s="469"/>
    </row>
    <row r="1280" spans="1:12" s="315" customFormat="1" x14ac:dyDescent="0.25">
      <c r="A1280" s="752"/>
      <c r="B1280" s="469"/>
      <c r="C1280" s="468"/>
      <c r="D1280" s="468"/>
      <c r="E1280" s="323"/>
      <c r="F1280" s="323"/>
      <c r="G1280" s="780"/>
      <c r="H1280" s="760"/>
      <c r="I1280" s="780"/>
      <c r="J1280" s="713"/>
      <c r="K1280" s="468"/>
      <c r="L1280" s="469"/>
    </row>
    <row r="1281" spans="1:12" s="315" customFormat="1" x14ac:dyDescent="0.25">
      <c r="A1281" s="752"/>
      <c r="B1281" s="469"/>
      <c r="C1281" s="468"/>
      <c r="D1281" s="468"/>
      <c r="E1281" s="323"/>
      <c r="F1281" s="323"/>
      <c r="G1281" s="780"/>
      <c r="H1281" s="760"/>
      <c r="I1281" s="780"/>
      <c r="J1281" s="713"/>
      <c r="K1281" s="468"/>
      <c r="L1281" s="469"/>
    </row>
    <row r="1282" spans="1:12" s="315" customFormat="1" x14ac:dyDescent="0.25">
      <c r="A1282" s="752"/>
      <c r="B1282" s="469"/>
      <c r="C1282" s="468"/>
      <c r="D1282" s="468"/>
      <c r="E1282" s="323"/>
      <c r="F1282" s="323"/>
      <c r="G1282" s="780"/>
      <c r="H1282" s="760"/>
      <c r="I1282" s="780"/>
      <c r="J1282" s="713"/>
      <c r="K1282" s="468"/>
      <c r="L1282" s="469"/>
    </row>
    <row r="1283" spans="1:12" s="315" customFormat="1" x14ac:dyDescent="0.25">
      <c r="A1283" s="752"/>
      <c r="B1283" s="469"/>
      <c r="C1283" s="468"/>
      <c r="D1283" s="468"/>
      <c r="E1283" s="323"/>
      <c r="F1283" s="323"/>
      <c r="G1283" s="780"/>
      <c r="H1283" s="760"/>
      <c r="I1283" s="780"/>
      <c r="J1283" s="713"/>
      <c r="K1283" s="468"/>
      <c r="L1283" s="469"/>
    </row>
    <row r="1284" spans="1:12" s="315" customFormat="1" x14ac:dyDescent="0.25">
      <c r="A1284" s="752"/>
      <c r="B1284" s="469"/>
      <c r="C1284" s="468"/>
      <c r="D1284" s="468"/>
      <c r="E1284" s="323"/>
      <c r="F1284" s="323"/>
      <c r="G1284" s="780"/>
      <c r="H1284" s="760"/>
      <c r="I1284" s="780"/>
      <c r="J1284" s="713"/>
      <c r="K1284" s="468"/>
      <c r="L1284" s="469"/>
    </row>
    <row r="1285" spans="1:12" s="315" customFormat="1" x14ac:dyDescent="0.25">
      <c r="A1285" s="752"/>
      <c r="B1285" s="469"/>
      <c r="C1285" s="468"/>
      <c r="D1285" s="468"/>
      <c r="E1285" s="323"/>
      <c r="F1285" s="323"/>
      <c r="G1285" s="780"/>
      <c r="H1285" s="760"/>
      <c r="I1285" s="780"/>
      <c r="J1285" s="713"/>
      <c r="K1285" s="468"/>
      <c r="L1285" s="469"/>
    </row>
    <row r="1286" spans="1:12" s="315" customFormat="1" x14ac:dyDescent="0.25">
      <c r="A1286" s="752"/>
      <c r="B1286" s="469"/>
      <c r="C1286" s="468"/>
      <c r="D1286" s="468"/>
      <c r="E1286" s="323"/>
      <c r="F1286" s="323"/>
      <c r="G1286" s="780"/>
      <c r="H1286" s="760"/>
      <c r="I1286" s="780"/>
      <c r="J1286" s="713"/>
      <c r="K1286" s="468"/>
      <c r="L1286" s="469"/>
    </row>
    <row r="1287" spans="1:12" s="315" customFormat="1" x14ac:dyDescent="0.25">
      <c r="A1287" s="752"/>
      <c r="B1287" s="469"/>
      <c r="C1287" s="468"/>
      <c r="D1287" s="468"/>
      <c r="E1287" s="323"/>
      <c r="F1287" s="323"/>
      <c r="G1287" s="780"/>
      <c r="H1287" s="760"/>
      <c r="I1287" s="780"/>
      <c r="J1287" s="713"/>
      <c r="K1287" s="468"/>
      <c r="L1287" s="469"/>
    </row>
    <row r="1288" spans="1:12" s="315" customFormat="1" x14ac:dyDescent="0.25">
      <c r="A1288" s="752"/>
      <c r="B1288" s="469"/>
      <c r="C1288" s="468"/>
      <c r="D1288" s="468"/>
      <c r="E1288" s="323"/>
      <c r="F1288" s="323"/>
      <c r="G1288" s="780"/>
      <c r="H1288" s="760"/>
      <c r="I1288" s="780"/>
      <c r="J1288" s="713"/>
      <c r="K1288" s="468"/>
      <c r="L1288" s="469"/>
    </row>
    <row r="1289" spans="1:12" s="315" customFormat="1" x14ac:dyDescent="0.25">
      <c r="A1289" s="752"/>
      <c r="B1289" s="469"/>
      <c r="C1289" s="468"/>
      <c r="D1289" s="468"/>
      <c r="E1289" s="323"/>
      <c r="F1289" s="323"/>
      <c r="G1289" s="780"/>
      <c r="H1289" s="760"/>
      <c r="I1289" s="780"/>
      <c r="J1289" s="713"/>
      <c r="K1289" s="468"/>
      <c r="L1289" s="469"/>
    </row>
    <row r="1290" spans="1:12" s="315" customFormat="1" x14ac:dyDescent="0.25">
      <c r="A1290" s="752"/>
      <c r="B1290" s="469"/>
      <c r="C1290" s="468"/>
      <c r="D1290" s="468"/>
      <c r="E1290" s="323"/>
      <c r="F1290" s="323"/>
      <c r="G1290" s="780"/>
      <c r="H1290" s="760"/>
      <c r="I1290" s="780"/>
      <c r="J1290" s="713"/>
      <c r="K1290" s="468"/>
      <c r="L1290" s="469"/>
    </row>
    <row r="1291" spans="1:12" s="315" customFormat="1" x14ac:dyDescent="0.25">
      <c r="A1291" s="752"/>
      <c r="B1291" s="469"/>
      <c r="C1291" s="468"/>
      <c r="D1291" s="468"/>
      <c r="E1291" s="323"/>
      <c r="F1291" s="323"/>
      <c r="G1291" s="780"/>
      <c r="H1291" s="760"/>
      <c r="I1291" s="780"/>
      <c r="J1291" s="713"/>
      <c r="K1291" s="468"/>
      <c r="L1291" s="469"/>
    </row>
    <row r="1292" spans="1:12" s="315" customFormat="1" x14ac:dyDescent="0.25">
      <c r="A1292" s="752"/>
      <c r="B1292" s="469"/>
      <c r="C1292" s="468"/>
      <c r="D1292" s="468"/>
      <c r="E1292" s="323"/>
      <c r="F1292" s="323"/>
      <c r="G1292" s="780"/>
      <c r="H1292" s="760"/>
      <c r="I1292" s="780"/>
      <c r="J1292" s="713"/>
      <c r="K1292" s="468"/>
      <c r="L1292" s="469"/>
    </row>
    <row r="1293" spans="1:12" s="315" customFormat="1" x14ac:dyDescent="0.25">
      <c r="A1293" s="752"/>
      <c r="B1293" s="469"/>
      <c r="C1293" s="468"/>
      <c r="D1293" s="468"/>
      <c r="E1293" s="323"/>
      <c r="F1293" s="323"/>
      <c r="G1293" s="780"/>
      <c r="H1293" s="760"/>
      <c r="I1293" s="780"/>
      <c r="J1293" s="713"/>
      <c r="K1293" s="468"/>
      <c r="L1293" s="469"/>
    </row>
    <row r="1294" spans="1:12" s="315" customFormat="1" x14ac:dyDescent="0.25">
      <c r="A1294" s="752"/>
      <c r="B1294" s="469"/>
      <c r="C1294" s="468"/>
      <c r="D1294" s="468"/>
      <c r="E1294" s="323"/>
      <c r="F1294" s="323"/>
      <c r="G1294" s="780"/>
      <c r="H1294" s="760"/>
      <c r="I1294" s="780"/>
      <c r="J1294" s="713"/>
      <c r="K1294" s="468"/>
      <c r="L1294" s="469"/>
    </row>
    <row r="1295" spans="1:12" s="315" customFormat="1" x14ac:dyDescent="0.25">
      <c r="A1295" s="752"/>
      <c r="B1295" s="469"/>
      <c r="C1295" s="468"/>
      <c r="D1295" s="468"/>
      <c r="E1295" s="323"/>
      <c r="F1295" s="323"/>
      <c r="G1295" s="780"/>
      <c r="H1295" s="760"/>
      <c r="I1295" s="780"/>
      <c r="J1295" s="713"/>
      <c r="K1295" s="468"/>
      <c r="L1295" s="469"/>
    </row>
    <row r="1296" spans="1:12" s="315" customFormat="1" x14ac:dyDescent="0.25">
      <c r="A1296" s="752"/>
      <c r="B1296" s="469"/>
      <c r="C1296" s="468"/>
      <c r="D1296" s="468"/>
      <c r="E1296" s="323"/>
      <c r="F1296" s="323"/>
      <c r="G1296" s="780"/>
      <c r="H1296" s="760"/>
      <c r="I1296" s="780"/>
      <c r="J1296" s="713"/>
      <c r="K1296" s="468"/>
      <c r="L1296" s="469"/>
    </row>
    <row r="1297" spans="1:12" s="315" customFormat="1" x14ac:dyDescent="0.25">
      <c r="A1297" s="752"/>
      <c r="B1297" s="469"/>
      <c r="C1297" s="468"/>
      <c r="D1297" s="468"/>
      <c r="E1297" s="323"/>
      <c r="F1297" s="323"/>
      <c r="G1297" s="780"/>
      <c r="H1297" s="760"/>
      <c r="I1297" s="780"/>
      <c r="J1297" s="713"/>
      <c r="K1297" s="468"/>
      <c r="L1297" s="469"/>
    </row>
    <row r="1298" spans="1:12" s="315" customFormat="1" x14ac:dyDescent="0.25">
      <c r="A1298" s="752"/>
      <c r="B1298" s="469"/>
      <c r="C1298" s="468"/>
      <c r="D1298" s="468"/>
      <c r="E1298" s="323"/>
      <c r="F1298" s="323"/>
      <c r="G1298" s="780"/>
      <c r="H1298" s="760"/>
      <c r="I1298" s="780"/>
      <c r="J1298" s="713"/>
      <c r="K1298" s="468"/>
      <c r="L1298" s="469"/>
    </row>
    <row r="1299" spans="1:12" s="315" customFormat="1" x14ac:dyDescent="0.25">
      <c r="A1299" s="752"/>
      <c r="B1299" s="469"/>
      <c r="C1299" s="468"/>
      <c r="D1299" s="468"/>
      <c r="E1299" s="323"/>
      <c r="F1299" s="323"/>
      <c r="G1299" s="780"/>
      <c r="H1299" s="760"/>
      <c r="I1299" s="780"/>
      <c r="J1299" s="713"/>
      <c r="K1299" s="468"/>
      <c r="L1299" s="469"/>
    </row>
    <row r="1300" spans="1:12" s="315" customFormat="1" x14ac:dyDescent="0.25">
      <c r="A1300" s="752"/>
      <c r="B1300" s="469"/>
      <c r="C1300" s="468"/>
      <c r="D1300" s="468"/>
      <c r="E1300" s="323"/>
      <c r="F1300" s="323"/>
      <c r="G1300" s="780"/>
      <c r="H1300" s="760"/>
      <c r="I1300" s="780"/>
      <c r="J1300" s="713"/>
      <c r="K1300" s="468"/>
      <c r="L1300" s="469"/>
    </row>
    <row r="1301" spans="1:12" s="315" customFormat="1" x14ac:dyDescent="0.25">
      <c r="A1301" s="752"/>
      <c r="B1301" s="469"/>
      <c r="C1301" s="468"/>
      <c r="D1301" s="468"/>
      <c r="E1301" s="323"/>
      <c r="F1301" s="323"/>
      <c r="G1301" s="780"/>
      <c r="H1301" s="760"/>
      <c r="I1301" s="780"/>
      <c r="J1301" s="713"/>
      <c r="K1301" s="468"/>
      <c r="L1301" s="469"/>
    </row>
    <row r="1302" spans="1:12" s="315" customFormat="1" x14ac:dyDescent="0.25">
      <c r="A1302" s="752"/>
      <c r="B1302" s="469"/>
      <c r="C1302" s="468"/>
      <c r="D1302" s="468"/>
      <c r="E1302" s="323"/>
      <c r="F1302" s="323"/>
      <c r="G1302" s="780"/>
      <c r="H1302" s="760"/>
      <c r="I1302" s="780"/>
      <c r="J1302" s="713"/>
      <c r="K1302" s="468"/>
      <c r="L1302" s="469"/>
    </row>
    <row r="1303" spans="1:12" s="315" customFormat="1" x14ac:dyDescent="0.25">
      <c r="A1303" s="752"/>
      <c r="B1303" s="469"/>
      <c r="C1303" s="468"/>
      <c r="D1303" s="468"/>
      <c r="E1303" s="323"/>
      <c r="F1303" s="323"/>
      <c r="G1303" s="780"/>
      <c r="H1303" s="760"/>
      <c r="I1303" s="780"/>
      <c r="J1303" s="713"/>
      <c r="K1303" s="468"/>
      <c r="L1303" s="469"/>
    </row>
    <row r="1304" spans="1:12" s="315" customFormat="1" x14ac:dyDescent="0.25">
      <c r="A1304" s="752"/>
      <c r="B1304" s="469"/>
      <c r="C1304" s="468"/>
      <c r="D1304" s="468"/>
      <c r="E1304" s="323"/>
      <c r="F1304" s="323"/>
      <c r="G1304" s="780"/>
      <c r="H1304" s="760"/>
      <c r="I1304" s="780"/>
      <c r="J1304" s="713"/>
      <c r="K1304" s="468"/>
      <c r="L1304" s="469"/>
    </row>
    <row r="1305" spans="1:12" s="315" customFormat="1" x14ac:dyDescent="0.25">
      <c r="A1305" s="752"/>
      <c r="B1305" s="469"/>
      <c r="C1305" s="468"/>
      <c r="D1305" s="468"/>
      <c r="E1305" s="323"/>
      <c r="F1305" s="323"/>
      <c r="G1305" s="780"/>
      <c r="H1305" s="760"/>
      <c r="I1305" s="780"/>
      <c r="J1305" s="713"/>
      <c r="K1305" s="468"/>
      <c r="L1305" s="469"/>
    </row>
    <row r="1306" spans="1:12" s="315" customFormat="1" x14ac:dyDescent="0.25">
      <c r="A1306" s="752"/>
      <c r="B1306" s="469"/>
      <c r="C1306" s="468"/>
      <c r="D1306" s="468"/>
      <c r="E1306" s="323"/>
      <c r="F1306" s="323"/>
      <c r="G1306" s="780"/>
      <c r="H1306" s="760"/>
      <c r="I1306" s="780"/>
      <c r="J1306" s="713"/>
      <c r="K1306" s="468"/>
      <c r="L1306" s="469"/>
    </row>
    <row r="1307" spans="1:12" s="315" customFormat="1" x14ac:dyDescent="0.25">
      <c r="A1307" s="752"/>
      <c r="B1307" s="469"/>
      <c r="C1307" s="468"/>
      <c r="D1307" s="468"/>
      <c r="E1307" s="323"/>
      <c r="F1307" s="323"/>
      <c r="G1307" s="780"/>
      <c r="H1307" s="760"/>
      <c r="I1307" s="780"/>
      <c r="J1307" s="713"/>
      <c r="K1307" s="468"/>
      <c r="L1307" s="469"/>
    </row>
    <row r="1308" spans="1:12" s="315" customFormat="1" x14ac:dyDescent="0.25">
      <c r="A1308" s="752"/>
      <c r="B1308" s="469"/>
      <c r="C1308" s="468"/>
      <c r="D1308" s="468"/>
      <c r="E1308" s="323"/>
      <c r="F1308" s="323"/>
      <c r="G1308" s="780"/>
      <c r="H1308" s="760"/>
      <c r="I1308" s="780"/>
      <c r="J1308" s="713"/>
      <c r="K1308" s="468"/>
      <c r="L1308" s="469"/>
    </row>
    <row r="1309" spans="1:12" s="315" customFormat="1" x14ac:dyDescent="0.25">
      <c r="A1309" s="752"/>
      <c r="B1309" s="469"/>
      <c r="C1309" s="468"/>
      <c r="D1309" s="468"/>
      <c r="E1309" s="323"/>
      <c r="F1309" s="323"/>
      <c r="G1309" s="780"/>
      <c r="H1309" s="760"/>
      <c r="I1309" s="780"/>
      <c r="J1309" s="713"/>
      <c r="K1309" s="468"/>
      <c r="L1309" s="469"/>
    </row>
    <row r="1310" spans="1:12" s="315" customFormat="1" x14ac:dyDescent="0.25">
      <c r="A1310" s="752"/>
      <c r="B1310" s="469"/>
      <c r="C1310" s="468"/>
      <c r="D1310" s="468"/>
      <c r="E1310" s="323"/>
      <c r="F1310" s="323"/>
      <c r="G1310" s="780"/>
      <c r="H1310" s="760"/>
      <c r="I1310" s="780"/>
      <c r="J1310" s="713"/>
      <c r="K1310" s="468"/>
      <c r="L1310" s="469"/>
    </row>
    <row r="1311" spans="1:12" s="315" customFormat="1" x14ac:dyDescent="0.25">
      <c r="A1311" s="752"/>
      <c r="B1311" s="469"/>
      <c r="C1311" s="468"/>
      <c r="D1311" s="468"/>
      <c r="E1311" s="323"/>
      <c r="F1311" s="323"/>
      <c r="G1311" s="780"/>
      <c r="H1311" s="760"/>
      <c r="I1311" s="780"/>
      <c r="J1311" s="713"/>
      <c r="K1311" s="468"/>
      <c r="L1311" s="469"/>
    </row>
    <row r="1312" spans="1:12" s="315" customFormat="1" x14ac:dyDescent="0.25">
      <c r="A1312" s="752"/>
      <c r="B1312" s="469"/>
      <c r="C1312" s="468"/>
      <c r="D1312" s="468"/>
      <c r="E1312" s="323"/>
      <c r="F1312" s="323"/>
      <c r="G1312" s="780"/>
      <c r="H1312" s="760"/>
      <c r="I1312" s="780"/>
      <c r="J1312" s="713"/>
      <c r="K1312" s="468"/>
      <c r="L1312" s="469"/>
    </row>
    <row r="1313" spans="1:12" s="315" customFormat="1" x14ac:dyDescent="0.25">
      <c r="A1313" s="752"/>
      <c r="B1313" s="469"/>
      <c r="C1313" s="468"/>
      <c r="D1313" s="468"/>
      <c r="E1313" s="323"/>
      <c r="F1313" s="323"/>
      <c r="G1313" s="780"/>
      <c r="H1313" s="760"/>
      <c r="I1313" s="780"/>
      <c r="J1313" s="713"/>
      <c r="K1313" s="468"/>
      <c r="L1313" s="469"/>
    </row>
    <row r="1314" spans="1:12" s="315" customFormat="1" x14ac:dyDescent="0.25">
      <c r="A1314" s="752"/>
      <c r="B1314" s="469"/>
      <c r="C1314" s="468"/>
      <c r="D1314" s="468"/>
      <c r="E1314" s="323"/>
      <c r="F1314" s="323"/>
      <c r="G1314" s="780"/>
      <c r="H1314" s="760"/>
      <c r="I1314" s="780"/>
      <c r="J1314" s="713"/>
      <c r="K1314" s="468"/>
      <c r="L1314" s="469"/>
    </row>
    <row r="1315" spans="1:12" s="315" customFormat="1" x14ac:dyDescent="0.25">
      <c r="A1315" s="752"/>
      <c r="B1315" s="469"/>
      <c r="C1315" s="468"/>
      <c r="D1315" s="468"/>
      <c r="E1315" s="323"/>
      <c r="F1315" s="323"/>
      <c r="G1315" s="780"/>
      <c r="H1315" s="760"/>
      <c r="I1315" s="780"/>
      <c r="J1315" s="713"/>
      <c r="K1315" s="468"/>
      <c r="L1315" s="469"/>
    </row>
    <row r="1316" spans="1:12" s="315" customFormat="1" x14ac:dyDescent="0.25">
      <c r="A1316" s="752"/>
      <c r="B1316" s="469"/>
      <c r="C1316" s="468"/>
      <c r="D1316" s="468"/>
      <c r="E1316" s="323"/>
      <c r="F1316" s="323"/>
      <c r="G1316" s="780"/>
      <c r="H1316" s="760"/>
      <c r="I1316" s="780"/>
      <c r="J1316" s="713"/>
      <c r="K1316" s="468"/>
      <c r="L1316" s="469"/>
    </row>
    <row r="1317" spans="1:12" s="315" customFormat="1" x14ac:dyDescent="0.25">
      <c r="A1317" s="752"/>
      <c r="B1317" s="469"/>
      <c r="C1317" s="468"/>
      <c r="D1317" s="468"/>
      <c r="E1317" s="323"/>
      <c r="F1317" s="323"/>
      <c r="G1317" s="780"/>
      <c r="H1317" s="760"/>
      <c r="I1317" s="780"/>
      <c r="J1317" s="713"/>
      <c r="K1317" s="468"/>
      <c r="L1317" s="469"/>
    </row>
    <row r="1318" spans="1:12" s="315" customFormat="1" x14ac:dyDescent="0.25">
      <c r="A1318" s="752"/>
      <c r="B1318" s="469"/>
      <c r="C1318" s="468"/>
      <c r="D1318" s="468"/>
      <c r="E1318" s="323"/>
      <c r="F1318" s="323"/>
      <c r="G1318" s="780"/>
      <c r="H1318" s="760"/>
      <c r="I1318" s="780"/>
      <c r="J1318" s="713"/>
      <c r="K1318" s="468"/>
      <c r="L1318" s="469"/>
    </row>
    <row r="1319" spans="1:12" s="315" customFormat="1" x14ac:dyDescent="0.25">
      <c r="A1319" s="752"/>
      <c r="B1319" s="469"/>
      <c r="C1319" s="468"/>
      <c r="D1319" s="468"/>
      <c r="E1319" s="323"/>
      <c r="F1319" s="323"/>
      <c r="G1319" s="780"/>
      <c r="H1319" s="760"/>
      <c r="I1319" s="780"/>
      <c r="J1319" s="713"/>
      <c r="K1319" s="468"/>
      <c r="L1319" s="469"/>
    </row>
    <row r="1320" spans="1:12" s="315" customFormat="1" x14ac:dyDescent="0.25">
      <c r="A1320" s="752"/>
      <c r="B1320" s="469"/>
      <c r="C1320" s="468"/>
      <c r="D1320" s="468"/>
      <c r="E1320" s="323"/>
      <c r="F1320" s="323"/>
      <c r="G1320" s="780"/>
      <c r="H1320" s="760"/>
      <c r="I1320" s="780"/>
      <c r="J1320" s="713"/>
      <c r="K1320" s="468"/>
      <c r="L1320" s="469"/>
    </row>
    <row r="1321" spans="1:12" s="315" customFormat="1" x14ac:dyDescent="0.25">
      <c r="A1321" s="752"/>
      <c r="B1321" s="469"/>
      <c r="C1321" s="468"/>
      <c r="D1321" s="468"/>
      <c r="E1321" s="323"/>
      <c r="F1321" s="323"/>
      <c r="G1321" s="780"/>
      <c r="H1321" s="760"/>
      <c r="I1321" s="780"/>
      <c r="J1321" s="713"/>
      <c r="K1321" s="468"/>
      <c r="L1321" s="469"/>
    </row>
    <row r="1322" spans="1:12" s="315" customFormat="1" x14ac:dyDescent="0.25">
      <c r="A1322" s="752"/>
      <c r="B1322" s="469"/>
      <c r="C1322" s="468"/>
      <c r="D1322" s="468"/>
      <c r="E1322" s="323"/>
      <c r="F1322" s="323"/>
      <c r="G1322" s="780"/>
      <c r="H1322" s="760"/>
      <c r="I1322" s="780"/>
      <c r="J1322" s="713"/>
      <c r="K1322" s="468"/>
      <c r="L1322" s="469"/>
    </row>
    <row r="1323" spans="1:12" s="315" customFormat="1" x14ac:dyDescent="0.25">
      <c r="A1323" s="752"/>
      <c r="B1323" s="469"/>
      <c r="C1323" s="468"/>
      <c r="D1323" s="468"/>
      <c r="E1323" s="323"/>
      <c r="F1323" s="323"/>
      <c r="G1323" s="780"/>
      <c r="H1323" s="760"/>
      <c r="I1323" s="780"/>
      <c r="J1323" s="713"/>
      <c r="K1323" s="468"/>
      <c r="L1323" s="469"/>
    </row>
    <row r="1324" spans="1:12" s="315" customFormat="1" x14ac:dyDescent="0.25">
      <c r="A1324" s="752"/>
      <c r="B1324" s="469"/>
      <c r="C1324" s="468"/>
      <c r="D1324" s="468"/>
      <c r="E1324" s="323"/>
      <c r="F1324" s="323"/>
      <c r="G1324" s="780"/>
      <c r="H1324" s="760"/>
      <c r="I1324" s="780"/>
      <c r="J1324" s="713"/>
      <c r="K1324" s="468"/>
      <c r="L1324" s="469"/>
    </row>
    <row r="1325" spans="1:12" s="315" customFormat="1" x14ac:dyDescent="0.25">
      <c r="A1325" s="752"/>
      <c r="B1325" s="469"/>
      <c r="C1325" s="468"/>
      <c r="D1325" s="468"/>
      <c r="E1325" s="323"/>
      <c r="F1325" s="323"/>
      <c r="G1325" s="780"/>
      <c r="H1325" s="760"/>
      <c r="I1325" s="780"/>
      <c r="J1325" s="713"/>
      <c r="K1325" s="468"/>
      <c r="L1325" s="469"/>
    </row>
    <row r="1326" spans="1:12" s="315" customFormat="1" x14ac:dyDescent="0.25">
      <c r="A1326" s="752"/>
      <c r="B1326" s="469"/>
      <c r="C1326" s="468"/>
      <c r="D1326" s="468"/>
      <c r="E1326" s="323"/>
      <c r="F1326" s="323"/>
      <c r="G1326" s="780"/>
      <c r="H1326" s="760"/>
      <c r="I1326" s="780"/>
      <c r="J1326" s="713"/>
      <c r="K1326" s="468"/>
      <c r="L1326" s="469"/>
    </row>
    <row r="1327" spans="1:12" s="315" customFormat="1" x14ac:dyDescent="0.25">
      <c r="A1327" s="752"/>
      <c r="B1327" s="469"/>
      <c r="C1327" s="468"/>
      <c r="D1327" s="468"/>
      <c r="E1327" s="323"/>
      <c r="F1327" s="323"/>
      <c r="G1327" s="780"/>
      <c r="H1327" s="760"/>
      <c r="I1327" s="780"/>
      <c r="J1327" s="713"/>
      <c r="K1327" s="468"/>
      <c r="L1327" s="469"/>
    </row>
    <row r="1328" spans="1:12" s="315" customFormat="1" x14ac:dyDescent="0.25">
      <c r="A1328" s="752"/>
      <c r="B1328" s="469"/>
      <c r="C1328" s="468"/>
      <c r="D1328" s="468"/>
      <c r="E1328" s="323"/>
      <c r="F1328" s="323"/>
      <c r="G1328" s="780"/>
      <c r="H1328" s="760"/>
      <c r="I1328" s="780"/>
      <c r="J1328" s="713"/>
      <c r="K1328" s="468"/>
      <c r="L1328" s="469"/>
    </row>
    <row r="1329" spans="1:12" s="315" customFormat="1" x14ac:dyDescent="0.25">
      <c r="A1329" s="752"/>
      <c r="B1329" s="469"/>
      <c r="C1329" s="468"/>
      <c r="D1329" s="468"/>
      <c r="E1329" s="323"/>
      <c r="F1329" s="323"/>
      <c r="G1329" s="780"/>
      <c r="H1329" s="760"/>
      <c r="I1329" s="780"/>
      <c r="J1329" s="713"/>
      <c r="K1329" s="468"/>
      <c r="L1329" s="469"/>
    </row>
    <row r="1330" spans="1:12" s="315" customFormat="1" x14ac:dyDescent="0.25">
      <c r="A1330" s="752"/>
      <c r="B1330" s="469"/>
      <c r="C1330" s="468"/>
      <c r="D1330" s="468"/>
      <c r="E1330" s="323"/>
      <c r="F1330" s="323"/>
      <c r="G1330" s="780"/>
      <c r="H1330" s="760"/>
      <c r="I1330" s="780"/>
      <c r="J1330" s="713"/>
      <c r="K1330" s="468"/>
      <c r="L1330" s="469"/>
    </row>
    <row r="1331" spans="1:12" s="315" customFormat="1" x14ac:dyDescent="0.25">
      <c r="A1331" s="752"/>
      <c r="B1331" s="469"/>
      <c r="C1331" s="468"/>
      <c r="D1331" s="468"/>
      <c r="E1331" s="323"/>
      <c r="F1331" s="323"/>
      <c r="G1331" s="780"/>
      <c r="H1331" s="760"/>
      <c r="I1331" s="780"/>
      <c r="J1331" s="713"/>
      <c r="K1331" s="468"/>
      <c r="L1331" s="469"/>
    </row>
    <row r="1332" spans="1:12" s="315" customFormat="1" x14ac:dyDescent="0.25">
      <c r="A1332" s="752"/>
      <c r="B1332" s="469"/>
      <c r="C1332" s="468"/>
      <c r="D1332" s="468"/>
      <c r="E1332" s="323"/>
      <c r="F1332" s="323"/>
      <c r="G1332" s="780"/>
      <c r="H1332" s="760"/>
      <c r="I1332" s="780"/>
      <c r="J1332" s="713"/>
      <c r="K1332" s="468"/>
      <c r="L1332" s="469"/>
    </row>
    <row r="1333" spans="1:12" s="315" customFormat="1" x14ac:dyDescent="0.25">
      <c r="A1333" s="752"/>
      <c r="B1333" s="469"/>
      <c r="C1333" s="468"/>
      <c r="D1333" s="468"/>
      <c r="E1333" s="323"/>
      <c r="F1333" s="323"/>
      <c r="G1333" s="780"/>
      <c r="H1333" s="760"/>
      <c r="I1333" s="780"/>
      <c r="J1333" s="713"/>
      <c r="K1333" s="468"/>
      <c r="L1333" s="469"/>
    </row>
    <row r="1334" spans="1:12" s="315" customFormat="1" x14ac:dyDescent="0.25">
      <c r="A1334" s="752"/>
      <c r="B1334" s="469"/>
      <c r="C1334" s="468"/>
      <c r="D1334" s="468"/>
      <c r="E1334" s="323"/>
      <c r="F1334" s="323"/>
      <c r="G1334" s="780"/>
      <c r="H1334" s="760"/>
      <c r="I1334" s="780"/>
      <c r="J1334" s="713"/>
      <c r="K1334" s="468"/>
      <c r="L1334" s="469"/>
    </row>
    <row r="1335" spans="1:12" s="315" customFormat="1" x14ac:dyDescent="0.25">
      <c r="A1335" s="752"/>
      <c r="B1335" s="469"/>
      <c r="C1335" s="468"/>
      <c r="D1335" s="468"/>
      <c r="E1335" s="323"/>
      <c r="F1335" s="323"/>
      <c r="G1335" s="780"/>
      <c r="H1335" s="760"/>
      <c r="I1335" s="780"/>
      <c r="J1335" s="713"/>
      <c r="K1335" s="468"/>
      <c r="L1335" s="469"/>
    </row>
    <row r="1336" spans="1:12" s="315" customFormat="1" x14ac:dyDescent="0.25">
      <c r="A1336" s="752"/>
      <c r="B1336" s="469"/>
      <c r="C1336" s="468"/>
      <c r="D1336" s="468"/>
      <c r="E1336" s="323"/>
      <c r="F1336" s="323"/>
      <c r="G1336" s="780"/>
      <c r="H1336" s="760"/>
      <c r="I1336" s="780"/>
      <c r="J1336" s="713"/>
      <c r="K1336" s="468"/>
      <c r="L1336" s="469"/>
    </row>
    <row r="1337" spans="1:12" s="315" customFormat="1" x14ac:dyDescent="0.25">
      <c r="A1337" s="752"/>
      <c r="B1337" s="469"/>
      <c r="C1337" s="468"/>
      <c r="D1337" s="468"/>
      <c r="E1337" s="323"/>
      <c r="F1337" s="323"/>
      <c r="G1337" s="780"/>
      <c r="H1337" s="760"/>
      <c r="I1337" s="780"/>
      <c r="J1337" s="713"/>
      <c r="K1337" s="468"/>
      <c r="L1337" s="469"/>
    </row>
    <row r="1338" spans="1:12" s="315" customFormat="1" x14ac:dyDescent="0.25">
      <c r="A1338" s="752"/>
      <c r="B1338" s="469"/>
      <c r="C1338" s="468"/>
      <c r="D1338" s="468"/>
      <c r="E1338" s="323"/>
      <c r="F1338" s="323"/>
      <c r="G1338" s="780"/>
      <c r="H1338" s="760"/>
      <c r="I1338" s="780"/>
      <c r="J1338" s="713"/>
      <c r="K1338" s="468"/>
      <c r="L1338" s="469"/>
    </row>
    <row r="1339" spans="1:12" s="315" customFormat="1" x14ac:dyDescent="0.25">
      <c r="A1339" s="752"/>
      <c r="B1339" s="469"/>
      <c r="C1339" s="468"/>
      <c r="D1339" s="468"/>
      <c r="E1339" s="323"/>
      <c r="F1339" s="323"/>
      <c r="G1339" s="780"/>
      <c r="H1339" s="760"/>
      <c r="I1339" s="780"/>
      <c r="J1339" s="713"/>
      <c r="K1339" s="468"/>
      <c r="L1339" s="469"/>
    </row>
    <row r="1340" spans="1:12" s="315" customFormat="1" x14ac:dyDescent="0.25">
      <c r="A1340" s="752"/>
      <c r="B1340" s="469"/>
      <c r="C1340" s="468"/>
      <c r="D1340" s="468"/>
      <c r="E1340" s="323"/>
      <c r="F1340" s="323"/>
      <c r="G1340" s="780"/>
      <c r="H1340" s="760"/>
      <c r="I1340" s="780"/>
      <c r="J1340" s="713"/>
      <c r="K1340" s="468"/>
      <c r="L1340" s="469"/>
    </row>
    <row r="1341" spans="1:12" s="315" customFormat="1" x14ac:dyDescent="0.25">
      <c r="A1341" s="752"/>
      <c r="B1341" s="469"/>
      <c r="C1341" s="468"/>
      <c r="D1341" s="468"/>
      <c r="E1341" s="323"/>
      <c r="F1341" s="323"/>
      <c r="G1341" s="780"/>
      <c r="H1341" s="760"/>
      <c r="I1341" s="780"/>
      <c r="J1341" s="713"/>
      <c r="K1341" s="468"/>
      <c r="L1341" s="469"/>
    </row>
    <row r="1342" spans="1:12" s="315" customFormat="1" x14ac:dyDescent="0.25">
      <c r="A1342" s="752"/>
      <c r="B1342" s="469"/>
      <c r="C1342" s="468"/>
      <c r="D1342" s="468"/>
      <c r="E1342" s="323"/>
      <c r="F1342" s="323"/>
      <c r="G1342" s="780"/>
      <c r="H1342" s="760"/>
      <c r="I1342" s="780"/>
      <c r="J1342" s="713"/>
      <c r="K1342" s="468"/>
      <c r="L1342" s="469"/>
    </row>
    <row r="1343" spans="1:12" s="315" customFormat="1" x14ac:dyDescent="0.25">
      <c r="A1343" s="752"/>
      <c r="B1343" s="469"/>
      <c r="C1343" s="468"/>
      <c r="D1343" s="468"/>
      <c r="E1343" s="323"/>
      <c r="F1343" s="323"/>
      <c r="G1343" s="780"/>
      <c r="H1343" s="760"/>
      <c r="I1343" s="780"/>
      <c r="J1343" s="713"/>
      <c r="K1343" s="468"/>
      <c r="L1343" s="469"/>
    </row>
    <row r="1344" spans="1:12" s="315" customFormat="1" x14ac:dyDescent="0.25">
      <c r="A1344" s="752"/>
      <c r="B1344" s="469"/>
      <c r="C1344" s="468"/>
      <c r="D1344" s="468"/>
      <c r="E1344" s="323"/>
      <c r="F1344" s="323"/>
      <c r="G1344" s="780"/>
      <c r="H1344" s="760"/>
      <c r="I1344" s="780"/>
      <c r="J1344" s="713"/>
      <c r="K1344" s="468"/>
      <c r="L1344" s="469"/>
    </row>
    <row r="1345" spans="1:12" s="315" customFormat="1" x14ac:dyDescent="0.25">
      <c r="A1345" s="752"/>
      <c r="B1345" s="469"/>
      <c r="C1345" s="468"/>
      <c r="D1345" s="468"/>
      <c r="E1345" s="323"/>
      <c r="F1345" s="323"/>
      <c r="G1345" s="780"/>
      <c r="H1345" s="760"/>
      <c r="I1345" s="780"/>
      <c r="J1345" s="713"/>
      <c r="K1345" s="468"/>
      <c r="L1345" s="469"/>
    </row>
    <row r="1346" spans="1:12" s="315" customFormat="1" x14ac:dyDescent="0.25">
      <c r="A1346" s="752"/>
      <c r="B1346" s="469"/>
      <c r="C1346" s="468"/>
      <c r="D1346" s="468"/>
      <c r="E1346" s="323"/>
      <c r="F1346" s="323"/>
      <c r="G1346" s="780"/>
      <c r="H1346" s="760"/>
      <c r="I1346" s="780"/>
      <c r="J1346" s="713"/>
      <c r="K1346" s="468"/>
      <c r="L1346" s="469"/>
    </row>
    <row r="1347" spans="1:12" s="315" customFormat="1" x14ac:dyDescent="0.25">
      <c r="A1347" s="752"/>
      <c r="B1347" s="469"/>
      <c r="C1347" s="468"/>
      <c r="D1347" s="468"/>
      <c r="E1347" s="323"/>
      <c r="F1347" s="323"/>
      <c r="G1347" s="780"/>
      <c r="H1347" s="760"/>
      <c r="I1347" s="780"/>
      <c r="J1347" s="713"/>
      <c r="K1347" s="468"/>
      <c r="L1347" s="469"/>
    </row>
    <row r="1348" spans="1:12" s="315" customFormat="1" x14ac:dyDescent="0.25">
      <c r="A1348" s="752"/>
      <c r="B1348" s="469"/>
      <c r="C1348" s="468"/>
      <c r="D1348" s="468"/>
      <c r="E1348" s="323"/>
      <c r="F1348" s="323"/>
      <c r="G1348" s="780"/>
      <c r="H1348" s="760"/>
      <c r="I1348" s="780"/>
      <c r="J1348" s="713"/>
      <c r="K1348" s="468"/>
      <c r="L1348" s="469"/>
    </row>
    <row r="1349" spans="1:12" s="315" customFormat="1" x14ac:dyDescent="0.25">
      <c r="A1349" s="752"/>
      <c r="B1349" s="469"/>
      <c r="C1349" s="468"/>
      <c r="D1349" s="468"/>
      <c r="E1349" s="323"/>
      <c r="F1349" s="323"/>
      <c r="G1349" s="780"/>
      <c r="H1349" s="760"/>
      <c r="I1349" s="780"/>
      <c r="J1349" s="713"/>
      <c r="K1349" s="468"/>
      <c r="L1349" s="469"/>
    </row>
    <row r="1350" spans="1:12" s="315" customFormat="1" x14ac:dyDescent="0.25">
      <c r="A1350" s="752"/>
      <c r="B1350" s="469"/>
      <c r="C1350" s="468"/>
      <c r="D1350" s="468"/>
      <c r="E1350" s="323"/>
      <c r="F1350" s="323"/>
      <c r="G1350" s="780"/>
      <c r="H1350" s="760"/>
      <c r="I1350" s="780"/>
      <c r="J1350" s="713"/>
      <c r="K1350" s="468"/>
      <c r="L1350" s="469"/>
    </row>
    <row r="1351" spans="1:12" s="315" customFormat="1" x14ac:dyDescent="0.25">
      <c r="A1351" s="752"/>
      <c r="B1351" s="469"/>
      <c r="C1351" s="468"/>
      <c r="D1351" s="468"/>
      <c r="E1351" s="323"/>
      <c r="F1351" s="323"/>
      <c r="G1351" s="780"/>
      <c r="H1351" s="760"/>
      <c r="I1351" s="780"/>
      <c r="J1351" s="713"/>
      <c r="K1351" s="468"/>
      <c r="L1351" s="469"/>
    </row>
    <row r="1352" spans="1:12" s="315" customFormat="1" x14ac:dyDescent="0.25">
      <c r="A1352" s="752"/>
      <c r="B1352" s="469"/>
      <c r="C1352" s="468"/>
      <c r="D1352" s="468"/>
      <c r="E1352" s="323"/>
      <c r="F1352" s="323"/>
      <c r="G1352" s="780"/>
      <c r="H1352" s="760"/>
      <c r="I1352" s="780"/>
      <c r="J1352" s="713"/>
      <c r="K1352" s="468"/>
      <c r="L1352" s="469"/>
    </row>
    <row r="1353" spans="1:12" s="315" customFormat="1" x14ac:dyDescent="0.25">
      <c r="A1353" s="752"/>
      <c r="B1353" s="469"/>
      <c r="C1353" s="468"/>
      <c r="D1353" s="468"/>
      <c r="E1353" s="323"/>
      <c r="F1353" s="323"/>
      <c r="G1353" s="780"/>
      <c r="H1353" s="760"/>
      <c r="I1353" s="780"/>
      <c r="J1353" s="713"/>
      <c r="K1353" s="468"/>
      <c r="L1353" s="469"/>
    </row>
    <row r="1354" spans="1:12" s="315" customFormat="1" x14ac:dyDescent="0.25">
      <c r="A1354" s="752"/>
      <c r="B1354" s="469"/>
      <c r="C1354" s="468"/>
      <c r="D1354" s="468"/>
      <c r="E1354" s="323"/>
      <c r="F1354" s="323"/>
      <c r="G1354" s="780"/>
      <c r="H1354" s="760"/>
      <c r="I1354" s="780"/>
      <c r="J1354" s="713"/>
      <c r="K1354" s="468"/>
      <c r="L1354" s="469"/>
    </row>
    <row r="1355" spans="1:12" s="315" customFormat="1" x14ac:dyDescent="0.25">
      <c r="A1355" s="752"/>
      <c r="B1355" s="469"/>
      <c r="C1355" s="468"/>
      <c r="D1355" s="468"/>
      <c r="E1355" s="323"/>
      <c r="F1355" s="323"/>
      <c r="G1355" s="780"/>
      <c r="H1355" s="760"/>
      <c r="I1355" s="780"/>
      <c r="J1355" s="713"/>
      <c r="K1355" s="468"/>
      <c r="L1355" s="469"/>
    </row>
    <row r="1356" spans="1:12" s="315" customFormat="1" x14ac:dyDescent="0.25">
      <c r="A1356" s="752"/>
      <c r="B1356" s="469"/>
      <c r="C1356" s="468"/>
      <c r="D1356" s="468"/>
      <c r="E1356" s="323"/>
      <c r="F1356" s="323"/>
      <c r="G1356" s="780"/>
      <c r="H1356" s="760"/>
      <c r="I1356" s="780"/>
      <c r="J1356" s="713"/>
      <c r="K1356" s="468"/>
      <c r="L1356" s="469"/>
    </row>
    <row r="1357" spans="1:12" s="315" customFormat="1" x14ac:dyDescent="0.25">
      <c r="A1357" s="752"/>
      <c r="B1357" s="469"/>
      <c r="C1357" s="468"/>
      <c r="D1357" s="468"/>
      <c r="E1357" s="323"/>
      <c r="F1357" s="323"/>
      <c r="G1357" s="780"/>
      <c r="H1357" s="760"/>
      <c r="I1357" s="780"/>
      <c r="J1357" s="713"/>
      <c r="K1357" s="468"/>
      <c r="L1357" s="469"/>
    </row>
    <row r="1358" spans="1:12" s="315" customFormat="1" x14ac:dyDescent="0.25">
      <c r="A1358" s="752"/>
      <c r="B1358" s="469"/>
      <c r="C1358" s="468"/>
      <c r="D1358" s="468"/>
      <c r="E1358" s="323"/>
      <c r="F1358" s="323"/>
      <c r="G1358" s="780"/>
      <c r="H1358" s="760"/>
      <c r="I1358" s="780"/>
      <c r="J1358" s="713"/>
      <c r="K1358" s="468"/>
      <c r="L1358" s="469"/>
    </row>
    <row r="1359" spans="1:12" s="315" customFormat="1" x14ac:dyDescent="0.25">
      <c r="A1359" s="752"/>
      <c r="B1359" s="469"/>
      <c r="C1359" s="468"/>
      <c r="D1359" s="468"/>
      <c r="E1359" s="323"/>
      <c r="F1359" s="323"/>
      <c r="G1359" s="780"/>
      <c r="H1359" s="760"/>
      <c r="I1359" s="780"/>
      <c r="J1359" s="713"/>
      <c r="K1359" s="468"/>
      <c r="L1359" s="469"/>
    </row>
    <row r="1360" spans="1:12" s="315" customFormat="1" x14ac:dyDescent="0.25">
      <c r="A1360" s="752"/>
      <c r="B1360" s="469"/>
      <c r="C1360" s="468"/>
      <c r="D1360" s="468"/>
      <c r="E1360" s="323"/>
      <c r="F1360" s="323"/>
      <c r="G1360" s="780"/>
      <c r="H1360" s="760"/>
      <c r="I1360" s="780"/>
      <c r="J1360" s="713"/>
      <c r="K1360" s="468"/>
      <c r="L1360" s="469"/>
    </row>
    <row r="1361" spans="1:12" s="315" customFormat="1" x14ac:dyDescent="0.25">
      <c r="A1361" s="752"/>
      <c r="B1361" s="469"/>
      <c r="C1361" s="468"/>
      <c r="D1361" s="468"/>
      <c r="E1361" s="323"/>
      <c r="F1361" s="323"/>
      <c r="G1361" s="780"/>
      <c r="H1361" s="760"/>
      <c r="I1361" s="780"/>
      <c r="J1361" s="713"/>
      <c r="K1361" s="468"/>
      <c r="L1361" s="469"/>
    </row>
    <row r="1362" spans="1:12" s="315" customFormat="1" x14ac:dyDescent="0.25">
      <c r="A1362" s="752"/>
      <c r="B1362" s="469"/>
      <c r="C1362" s="468"/>
      <c r="D1362" s="468"/>
      <c r="E1362" s="323"/>
      <c r="F1362" s="323"/>
      <c r="G1362" s="780"/>
      <c r="H1362" s="760"/>
      <c r="I1362" s="780"/>
      <c r="J1362" s="713"/>
      <c r="K1362" s="468"/>
      <c r="L1362" s="469"/>
    </row>
    <row r="1363" spans="1:12" s="315" customFormat="1" x14ac:dyDescent="0.25">
      <c r="A1363" s="752"/>
      <c r="B1363" s="469"/>
      <c r="C1363" s="468"/>
      <c r="D1363" s="468"/>
      <c r="E1363" s="323"/>
      <c r="F1363" s="323"/>
      <c r="G1363" s="780"/>
      <c r="H1363" s="760"/>
      <c r="I1363" s="780"/>
      <c r="J1363" s="713"/>
      <c r="K1363" s="468"/>
      <c r="L1363" s="469"/>
    </row>
    <row r="1364" spans="1:12" s="315" customFormat="1" x14ac:dyDescent="0.25">
      <c r="A1364" s="752"/>
      <c r="B1364" s="469"/>
      <c r="C1364" s="468"/>
      <c r="D1364" s="468"/>
      <c r="E1364" s="323"/>
      <c r="F1364" s="323"/>
      <c r="G1364" s="780"/>
      <c r="H1364" s="760"/>
      <c r="I1364" s="780"/>
      <c r="J1364" s="713"/>
      <c r="K1364" s="468"/>
      <c r="L1364" s="469"/>
    </row>
    <row r="1365" spans="1:12" s="315" customFormat="1" x14ac:dyDescent="0.25">
      <c r="A1365" s="752"/>
      <c r="B1365" s="469"/>
      <c r="C1365" s="468"/>
      <c r="D1365" s="468"/>
      <c r="E1365" s="323"/>
      <c r="F1365" s="323"/>
      <c r="G1365" s="780"/>
      <c r="H1365" s="760"/>
      <c r="I1365" s="780"/>
      <c r="J1365" s="713"/>
      <c r="K1365" s="468"/>
      <c r="L1365" s="469"/>
    </row>
    <row r="1366" spans="1:12" s="315" customFormat="1" x14ac:dyDescent="0.25">
      <c r="A1366" s="752"/>
      <c r="B1366" s="469"/>
      <c r="C1366" s="468"/>
      <c r="D1366" s="468"/>
      <c r="E1366" s="323"/>
      <c r="F1366" s="323"/>
      <c r="G1366" s="780"/>
      <c r="H1366" s="760"/>
      <c r="I1366" s="780"/>
      <c r="J1366" s="713"/>
      <c r="K1366" s="468"/>
      <c r="L1366" s="469"/>
    </row>
    <row r="1367" spans="1:12" s="315" customFormat="1" x14ac:dyDescent="0.25">
      <c r="A1367" s="752"/>
      <c r="B1367" s="469"/>
      <c r="C1367" s="468"/>
      <c r="D1367" s="468"/>
      <c r="E1367" s="323"/>
      <c r="F1367" s="323"/>
      <c r="G1367" s="780"/>
      <c r="H1367" s="760"/>
      <c r="I1367" s="780"/>
      <c r="J1367" s="713"/>
      <c r="K1367" s="468"/>
      <c r="L1367" s="469"/>
    </row>
    <row r="1368" spans="1:12" s="315" customFormat="1" x14ac:dyDescent="0.25">
      <c r="A1368" s="752"/>
      <c r="B1368" s="469"/>
      <c r="C1368" s="468"/>
      <c r="D1368" s="468"/>
      <c r="E1368" s="323"/>
      <c r="F1368" s="323"/>
      <c r="G1368" s="780"/>
      <c r="H1368" s="760"/>
      <c r="I1368" s="780"/>
      <c r="J1368" s="713"/>
      <c r="K1368" s="468"/>
      <c r="L1368" s="469"/>
    </row>
    <row r="1369" spans="1:12" s="315" customFormat="1" x14ac:dyDescent="0.25">
      <c r="A1369" s="752"/>
      <c r="B1369" s="469"/>
      <c r="C1369" s="468"/>
      <c r="D1369" s="468"/>
      <c r="E1369" s="323"/>
      <c r="F1369" s="323"/>
      <c r="G1369" s="780"/>
      <c r="H1369" s="760"/>
      <c r="I1369" s="780"/>
      <c r="J1369" s="713"/>
      <c r="K1369" s="468"/>
      <c r="L1369" s="469"/>
    </row>
    <row r="1370" spans="1:12" s="315" customFormat="1" x14ac:dyDescent="0.25">
      <c r="A1370" s="752"/>
      <c r="B1370" s="469"/>
      <c r="C1370" s="468"/>
      <c r="D1370" s="468"/>
      <c r="E1370" s="323"/>
      <c r="F1370" s="323"/>
      <c r="G1370" s="780"/>
      <c r="H1370" s="760"/>
      <c r="I1370" s="780"/>
      <c r="J1370" s="713"/>
      <c r="K1370" s="468"/>
      <c r="L1370" s="469"/>
    </row>
    <row r="1371" spans="1:12" s="315" customFormat="1" x14ac:dyDescent="0.25">
      <c r="A1371" s="752"/>
      <c r="B1371" s="469"/>
      <c r="C1371" s="468"/>
      <c r="D1371" s="468"/>
      <c r="E1371" s="323"/>
      <c r="F1371" s="323"/>
      <c r="G1371" s="780"/>
      <c r="H1371" s="760"/>
      <c r="I1371" s="780"/>
      <c r="J1371" s="713"/>
      <c r="K1371" s="468"/>
      <c r="L1371" s="469"/>
    </row>
    <row r="1372" spans="1:12" s="315" customFormat="1" x14ac:dyDescent="0.25">
      <c r="A1372" s="752"/>
      <c r="B1372" s="469"/>
      <c r="C1372" s="468"/>
      <c r="D1372" s="468"/>
      <c r="E1372" s="323"/>
      <c r="F1372" s="323"/>
      <c r="G1372" s="780"/>
      <c r="H1372" s="760"/>
      <c r="I1372" s="780"/>
      <c r="J1372" s="713"/>
      <c r="K1372" s="468"/>
      <c r="L1372" s="469"/>
    </row>
    <row r="1373" spans="1:12" s="315" customFormat="1" x14ac:dyDescent="0.25">
      <c r="A1373" s="752"/>
      <c r="B1373" s="469"/>
      <c r="C1373" s="468"/>
      <c r="D1373" s="468"/>
      <c r="E1373" s="323"/>
      <c r="F1373" s="323"/>
      <c r="G1373" s="780"/>
      <c r="H1373" s="760"/>
      <c r="I1373" s="780"/>
      <c r="J1373" s="713"/>
      <c r="K1373" s="468"/>
      <c r="L1373" s="469"/>
    </row>
    <row r="1374" spans="1:12" s="315" customFormat="1" x14ac:dyDescent="0.25">
      <c r="A1374" s="752"/>
      <c r="B1374" s="469"/>
      <c r="C1374" s="468"/>
      <c r="D1374" s="468"/>
      <c r="E1374" s="323"/>
      <c r="F1374" s="323"/>
      <c r="G1374" s="780"/>
      <c r="H1374" s="760"/>
      <c r="I1374" s="780"/>
      <c r="J1374" s="713"/>
      <c r="K1374" s="468"/>
      <c r="L1374" s="469"/>
    </row>
    <row r="1375" spans="1:12" s="315" customFormat="1" x14ac:dyDescent="0.25">
      <c r="A1375" s="752"/>
      <c r="B1375" s="469"/>
      <c r="C1375" s="468"/>
      <c r="D1375" s="468"/>
      <c r="E1375" s="323"/>
      <c r="F1375" s="323"/>
      <c r="G1375" s="780"/>
      <c r="H1375" s="760"/>
      <c r="I1375" s="780"/>
      <c r="J1375" s="713"/>
      <c r="K1375" s="468"/>
      <c r="L1375" s="469"/>
    </row>
    <row r="1376" spans="1:12" s="315" customFormat="1" x14ac:dyDescent="0.25">
      <c r="A1376" s="752"/>
      <c r="B1376" s="469"/>
      <c r="C1376" s="468"/>
      <c r="D1376" s="468"/>
      <c r="E1376" s="323"/>
      <c r="F1376" s="323"/>
      <c r="G1376" s="780"/>
      <c r="H1376" s="760"/>
      <c r="I1376" s="780"/>
      <c r="J1376" s="713"/>
      <c r="K1376" s="468"/>
      <c r="L1376" s="469"/>
    </row>
    <row r="1377" spans="1:12" s="315" customFormat="1" x14ac:dyDescent="0.25">
      <c r="A1377" s="752"/>
      <c r="B1377" s="469"/>
      <c r="C1377" s="468"/>
      <c r="D1377" s="468"/>
      <c r="E1377" s="323"/>
      <c r="F1377" s="323"/>
      <c r="G1377" s="780"/>
      <c r="H1377" s="760"/>
      <c r="I1377" s="780"/>
      <c r="J1377" s="713"/>
      <c r="K1377" s="468"/>
      <c r="L1377" s="469"/>
    </row>
    <row r="1378" spans="1:12" s="315" customFormat="1" x14ac:dyDescent="0.25">
      <c r="A1378" s="752"/>
      <c r="B1378" s="469"/>
      <c r="C1378" s="468"/>
      <c r="D1378" s="468"/>
      <c r="E1378" s="323"/>
      <c r="F1378" s="323"/>
      <c r="G1378" s="780"/>
      <c r="H1378" s="760"/>
      <c r="I1378" s="780"/>
      <c r="J1378" s="713"/>
      <c r="K1378" s="468"/>
      <c r="L1378" s="469"/>
    </row>
    <row r="1379" spans="1:12" s="315" customFormat="1" x14ac:dyDescent="0.25">
      <c r="A1379" s="752"/>
      <c r="B1379" s="469"/>
      <c r="C1379" s="468"/>
      <c r="D1379" s="468"/>
      <c r="E1379" s="323"/>
      <c r="F1379" s="323"/>
      <c r="G1379" s="780"/>
      <c r="H1379" s="760"/>
      <c r="I1379" s="780"/>
      <c r="J1379" s="713"/>
      <c r="K1379" s="468"/>
      <c r="L1379" s="469"/>
    </row>
    <row r="1380" spans="1:12" s="315" customFormat="1" x14ac:dyDescent="0.25">
      <c r="A1380" s="752"/>
      <c r="B1380" s="469"/>
      <c r="C1380" s="468"/>
      <c r="D1380" s="468"/>
      <c r="E1380" s="323"/>
      <c r="F1380" s="323"/>
      <c r="G1380" s="780"/>
      <c r="H1380" s="760"/>
      <c r="I1380" s="780"/>
      <c r="J1380" s="713"/>
      <c r="K1380" s="468"/>
      <c r="L1380" s="469"/>
    </row>
    <row r="1381" spans="1:12" s="315" customFormat="1" x14ac:dyDescent="0.25">
      <c r="A1381" s="752"/>
      <c r="B1381" s="469"/>
      <c r="C1381" s="468"/>
      <c r="D1381" s="468"/>
      <c r="E1381" s="323"/>
      <c r="F1381" s="323"/>
      <c r="G1381" s="780"/>
      <c r="H1381" s="760"/>
      <c r="I1381" s="780"/>
      <c r="J1381" s="713"/>
      <c r="K1381" s="468"/>
      <c r="L1381" s="469"/>
    </row>
    <row r="1382" spans="1:12" s="315" customFormat="1" x14ac:dyDescent="0.25">
      <c r="A1382" s="752"/>
      <c r="B1382" s="469"/>
      <c r="C1382" s="468"/>
      <c r="D1382" s="468"/>
      <c r="E1382" s="323"/>
      <c r="F1382" s="323"/>
      <c r="G1382" s="780"/>
      <c r="H1382" s="760"/>
      <c r="I1382" s="780"/>
      <c r="J1382" s="713"/>
      <c r="K1382" s="468"/>
      <c r="L1382" s="469"/>
    </row>
    <row r="1383" spans="1:12" s="315" customFormat="1" x14ac:dyDescent="0.25">
      <c r="A1383" s="752"/>
      <c r="B1383" s="469"/>
      <c r="C1383" s="468"/>
      <c r="D1383" s="468"/>
      <c r="E1383" s="323"/>
      <c r="F1383" s="323"/>
      <c r="G1383" s="780"/>
      <c r="H1383" s="760"/>
      <c r="I1383" s="780"/>
      <c r="J1383" s="713"/>
      <c r="K1383" s="468"/>
      <c r="L1383" s="469"/>
    </row>
    <row r="1384" spans="1:12" s="315" customFormat="1" x14ac:dyDescent="0.25">
      <c r="A1384" s="752"/>
      <c r="B1384" s="469"/>
      <c r="C1384" s="468"/>
      <c r="D1384" s="468"/>
      <c r="E1384" s="323"/>
      <c r="F1384" s="323"/>
      <c r="G1384" s="780"/>
      <c r="H1384" s="760"/>
      <c r="I1384" s="780"/>
      <c r="J1384" s="713"/>
      <c r="K1384" s="468"/>
      <c r="L1384" s="469"/>
    </row>
    <row r="1385" spans="1:12" s="315" customFormat="1" x14ac:dyDescent="0.25">
      <c r="A1385" s="752"/>
      <c r="B1385" s="469"/>
      <c r="C1385" s="468"/>
      <c r="D1385" s="468"/>
      <c r="E1385" s="323"/>
      <c r="F1385" s="323"/>
      <c r="G1385" s="780"/>
      <c r="H1385" s="760"/>
      <c r="I1385" s="780"/>
      <c r="J1385" s="713"/>
      <c r="K1385" s="468"/>
      <c r="L1385" s="469"/>
    </row>
    <row r="1386" spans="1:12" s="315" customFormat="1" x14ac:dyDescent="0.25">
      <c r="A1386" s="752"/>
      <c r="B1386" s="469"/>
      <c r="C1386" s="468"/>
      <c r="D1386" s="468"/>
      <c r="E1386" s="323"/>
      <c r="F1386" s="323"/>
      <c r="G1386" s="780"/>
      <c r="H1386" s="760"/>
      <c r="I1386" s="780"/>
      <c r="J1386" s="713"/>
      <c r="K1386" s="468"/>
      <c r="L1386" s="469"/>
    </row>
    <row r="1387" spans="1:12" s="315" customFormat="1" x14ac:dyDescent="0.25">
      <c r="A1387" s="752"/>
      <c r="B1387" s="469"/>
      <c r="C1387" s="468"/>
      <c r="D1387" s="468"/>
      <c r="E1387" s="323"/>
      <c r="F1387" s="323"/>
      <c r="G1387" s="780"/>
      <c r="H1387" s="760"/>
      <c r="I1387" s="780"/>
      <c r="J1387" s="713"/>
      <c r="K1387" s="468"/>
      <c r="L1387" s="469"/>
    </row>
    <row r="1388" spans="1:12" s="315" customFormat="1" x14ac:dyDescent="0.25">
      <c r="A1388" s="752"/>
      <c r="B1388" s="469"/>
      <c r="C1388" s="468"/>
      <c r="D1388" s="468"/>
      <c r="E1388" s="323"/>
      <c r="F1388" s="323"/>
      <c r="G1388" s="780"/>
      <c r="H1388" s="760"/>
      <c r="I1388" s="780"/>
      <c r="J1388" s="713"/>
      <c r="K1388" s="468"/>
      <c r="L1388" s="469"/>
    </row>
    <row r="1389" spans="1:12" s="315" customFormat="1" x14ac:dyDescent="0.25">
      <c r="A1389" s="752"/>
      <c r="B1389" s="469"/>
      <c r="C1389" s="468"/>
      <c r="D1389" s="468"/>
      <c r="E1389" s="323"/>
      <c r="F1389" s="323"/>
      <c r="G1389" s="780"/>
      <c r="H1389" s="760"/>
      <c r="I1389" s="780"/>
      <c r="J1389" s="713"/>
      <c r="K1389" s="468"/>
      <c r="L1389" s="469"/>
    </row>
    <row r="1390" spans="1:12" s="315" customFormat="1" x14ac:dyDescent="0.25">
      <c r="A1390" s="752"/>
      <c r="B1390" s="469"/>
      <c r="C1390" s="468"/>
      <c r="D1390" s="468"/>
      <c r="E1390" s="323"/>
      <c r="F1390" s="323"/>
      <c r="G1390" s="780"/>
      <c r="H1390" s="760"/>
      <c r="I1390" s="780"/>
      <c r="J1390" s="713"/>
      <c r="K1390" s="468"/>
      <c r="L1390" s="469"/>
    </row>
    <row r="1391" spans="1:12" s="315" customFormat="1" x14ac:dyDescent="0.25">
      <c r="A1391" s="752"/>
      <c r="B1391" s="469"/>
      <c r="C1391" s="468"/>
      <c r="D1391" s="468"/>
      <c r="E1391" s="323"/>
      <c r="F1391" s="323"/>
      <c r="G1391" s="780"/>
      <c r="H1391" s="760"/>
      <c r="I1391" s="780"/>
      <c r="J1391" s="713"/>
      <c r="K1391" s="468"/>
      <c r="L1391" s="469"/>
    </row>
    <row r="1392" spans="1:12" s="315" customFormat="1" x14ac:dyDescent="0.25">
      <c r="A1392" s="752"/>
      <c r="B1392" s="469"/>
      <c r="C1392" s="468"/>
      <c r="D1392" s="468"/>
      <c r="E1392" s="323"/>
      <c r="F1392" s="323"/>
      <c r="G1392" s="780"/>
      <c r="H1392" s="760"/>
      <c r="I1392" s="780"/>
      <c r="J1392" s="713"/>
      <c r="K1392" s="468"/>
      <c r="L1392" s="469"/>
    </row>
    <row r="1393" spans="1:12" s="315" customFormat="1" x14ac:dyDescent="0.25">
      <c r="A1393" s="752"/>
      <c r="B1393" s="469"/>
      <c r="C1393" s="468"/>
      <c r="D1393" s="468"/>
      <c r="E1393" s="323"/>
      <c r="F1393" s="323"/>
      <c r="G1393" s="780"/>
      <c r="H1393" s="760"/>
      <c r="I1393" s="780"/>
      <c r="J1393" s="713"/>
      <c r="K1393" s="468"/>
      <c r="L1393" s="469"/>
    </row>
    <row r="1394" spans="1:12" s="315" customFormat="1" x14ac:dyDescent="0.25">
      <c r="A1394" s="752"/>
      <c r="B1394" s="469"/>
      <c r="C1394" s="468"/>
      <c r="D1394" s="468"/>
      <c r="E1394" s="323"/>
      <c r="F1394" s="323"/>
      <c r="G1394" s="780"/>
      <c r="H1394" s="760"/>
      <c r="I1394" s="780"/>
      <c r="J1394" s="713"/>
      <c r="K1394" s="468"/>
      <c r="L1394" s="469"/>
    </row>
    <row r="1395" spans="1:12" s="315" customFormat="1" x14ac:dyDescent="0.25">
      <c r="A1395" s="752"/>
      <c r="B1395" s="469"/>
      <c r="C1395" s="468"/>
      <c r="D1395" s="468"/>
      <c r="E1395" s="323"/>
      <c r="F1395" s="323"/>
      <c r="G1395" s="780"/>
      <c r="H1395" s="760"/>
      <c r="I1395" s="780"/>
      <c r="J1395" s="713"/>
      <c r="K1395" s="468"/>
      <c r="L1395" s="469"/>
    </row>
    <row r="1396" spans="1:12" s="315" customFormat="1" x14ac:dyDescent="0.25">
      <c r="A1396" s="752"/>
      <c r="B1396" s="469"/>
      <c r="C1396" s="468"/>
      <c r="D1396" s="468"/>
      <c r="E1396" s="323"/>
      <c r="F1396" s="323"/>
      <c r="G1396" s="780"/>
      <c r="H1396" s="760"/>
      <c r="I1396" s="780"/>
      <c r="J1396" s="713"/>
      <c r="K1396" s="468"/>
      <c r="L1396" s="469"/>
    </row>
    <row r="1397" spans="1:12" s="315" customFormat="1" x14ac:dyDescent="0.25">
      <c r="A1397" s="752"/>
      <c r="B1397" s="469"/>
      <c r="C1397" s="468"/>
      <c r="D1397" s="468"/>
      <c r="E1397" s="323"/>
      <c r="F1397" s="323"/>
      <c r="G1397" s="780"/>
      <c r="H1397" s="760"/>
      <c r="I1397" s="780"/>
      <c r="J1397" s="713"/>
      <c r="K1397" s="468"/>
      <c r="L1397" s="469"/>
    </row>
    <row r="1398" spans="1:12" s="315" customFormat="1" x14ac:dyDescent="0.25">
      <c r="A1398" s="752"/>
      <c r="B1398" s="469"/>
      <c r="C1398" s="468"/>
      <c r="D1398" s="468"/>
      <c r="E1398" s="323"/>
      <c r="F1398" s="323"/>
      <c r="G1398" s="780"/>
      <c r="H1398" s="760"/>
      <c r="I1398" s="780"/>
      <c r="J1398" s="713"/>
      <c r="K1398" s="468"/>
      <c r="L1398" s="469"/>
    </row>
    <row r="1399" spans="1:12" s="315" customFormat="1" x14ac:dyDescent="0.25">
      <c r="A1399" s="752"/>
      <c r="B1399" s="469"/>
      <c r="C1399" s="468"/>
      <c r="D1399" s="468"/>
      <c r="E1399" s="323"/>
      <c r="F1399" s="323"/>
      <c r="G1399" s="780"/>
      <c r="H1399" s="760"/>
      <c r="I1399" s="780"/>
      <c r="J1399" s="713"/>
      <c r="K1399" s="468"/>
      <c r="L1399" s="469"/>
    </row>
    <row r="1400" spans="1:12" s="315" customFormat="1" x14ac:dyDescent="0.25">
      <c r="A1400" s="752"/>
      <c r="B1400" s="469"/>
      <c r="C1400" s="468"/>
      <c r="D1400" s="468"/>
      <c r="E1400" s="323"/>
      <c r="F1400" s="323"/>
      <c r="G1400" s="780"/>
      <c r="H1400" s="760"/>
      <c r="I1400" s="780"/>
      <c r="J1400" s="713"/>
      <c r="K1400" s="468"/>
      <c r="L1400" s="469"/>
    </row>
    <row r="1401" spans="1:12" s="315" customFormat="1" x14ac:dyDescent="0.25">
      <c r="A1401" s="752"/>
      <c r="B1401" s="469"/>
      <c r="C1401" s="468"/>
      <c r="D1401" s="468"/>
      <c r="E1401" s="323"/>
      <c r="F1401" s="323"/>
      <c r="G1401" s="780"/>
      <c r="H1401" s="760"/>
      <c r="I1401" s="780"/>
      <c r="J1401" s="713"/>
      <c r="K1401" s="468"/>
      <c r="L1401" s="469"/>
    </row>
    <row r="1402" spans="1:12" s="315" customFormat="1" x14ac:dyDescent="0.25">
      <c r="A1402" s="752"/>
      <c r="B1402" s="469"/>
      <c r="C1402" s="468"/>
      <c r="D1402" s="468"/>
      <c r="E1402" s="323"/>
      <c r="F1402" s="323"/>
      <c r="G1402" s="780"/>
      <c r="H1402" s="760"/>
      <c r="I1402" s="780"/>
      <c r="J1402" s="713"/>
      <c r="K1402" s="468"/>
      <c r="L1402" s="469"/>
    </row>
    <row r="1403" spans="1:12" s="315" customFormat="1" x14ac:dyDescent="0.25">
      <c r="A1403" s="752"/>
      <c r="B1403" s="469"/>
      <c r="C1403" s="468"/>
      <c r="D1403" s="468"/>
      <c r="E1403" s="323"/>
      <c r="F1403" s="323"/>
      <c r="G1403" s="780"/>
      <c r="H1403" s="760"/>
      <c r="I1403" s="780"/>
      <c r="J1403" s="713"/>
      <c r="K1403" s="468"/>
      <c r="L1403" s="469"/>
    </row>
    <row r="1404" spans="1:12" s="315" customFormat="1" x14ac:dyDescent="0.25">
      <c r="A1404" s="752"/>
      <c r="B1404" s="469"/>
      <c r="C1404" s="468"/>
      <c r="D1404" s="468"/>
      <c r="E1404" s="323"/>
      <c r="F1404" s="323"/>
      <c r="G1404" s="780"/>
      <c r="H1404" s="760"/>
      <c r="I1404" s="780"/>
      <c r="J1404" s="713"/>
      <c r="K1404" s="468"/>
      <c r="L1404" s="469"/>
    </row>
    <row r="1405" spans="1:12" s="315" customFormat="1" x14ac:dyDescent="0.25">
      <c r="A1405" s="752"/>
      <c r="B1405" s="469"/>
      <c r="C1405" s="468"/>
      <c r="D1405" s="468"/>
      <c r="E1405" s="323"/>
      <c r="F1405" s="323"/>
      <c r="G1405" s="780"/>
      <c r="H1405" s="760"/>
      <c r="I1405" s="780"/>
      <c r="J1405" s="713"/>
      <c r="K1405" s="468"/>
      <c r="L1405" s="469"/>
    </row>
    <row r="1406" spans="1:12" s="315" customFormat="1" x14ac:dyDescent="0.25">
      <c r="A1406" s="752"/>
      <c r="B1406" s="469"/>
      <c r="C1406" s="468"/>
      <c r="D1406" s="468"/>
      <c r="E1406" s="323"/>
      <c r="F1406" s="323"/>
      <c r="G1406" s="780"/>
      <c r="H1406" s="760"/>
      <c r="I1406" s="780"/>
      <c r="J1406" s="713"/>
      <c r="K1406" s="468"/>
      <c r="L1406" s="469"/>
    </row>
    <row r="1407" spans="1:12" s="315" customFormat="1" x14ac:dyDescent="0.25">
      <c r="A1407" s="752"/>
      <c r="B1407" s="469"/>
      <c r="C1407" s="468"/>
      <c r="D1407" s="468"/>
      <c r="E1407" s="323"/>
      <c r="F1407" s="323"/>
      <c r="G1407" s="780"/>
      <c r="H1407" s="760"/>
      <c r="I1407" s="780"/>
      <c r="J1407" s="713"/>
      <c r="K1407" s="468"/>
      <c r="L1407" s="469"/>
    </row>
    <row r="1408" spans="1:12" s="315" customFormat="1" x14ac:dyDescent="0.25">
      <c r="A1408" s="752"/>
      <c r="B1408" s="469"/>
      <c r="C1408" s="468"/>
      <c r="D1408" s="468"/>
      <c r="E1408" s="323"/>
      <c r="F1408" s="323"/>
      <c r="G1408" s="780"/>
      <c r="H1408" s="760"/>
      <c r="I1408" s="780"/>
      <c r="J1408" s="713"/>
      <c r="K1408" s="468"/>
      <c r="L1408" s="469"/>
    </row>
    <row r="1409" spans="1:12" s="315" customFormat="1" x14ac:dyDescent="0.25">
      <c r="A1409" s="752"/>
      <c r="B1409" s="469"/>
      <c r="C1409" s="468"/>
      <c r="D1409" s="468"/>
      <c r="E1409" s="323"/>
      <c r="F1409" s="323"/>
      <c r="G1409" s="780"/>
      <c r="H1409" s="760"/>
      <c r="I1409" s="780"/>
      <c r="J1409" s="713"/>
      <c r="K1409" s="468"/>
      <c r="L1409" s="469"/>
    </row>
    <row r="1410" spans="1:12" s="315" customFormat="1" x14ac:dyDescent="0.25">
      <c r="A1410" s="752"/>
      <c r="B1410" s="469"/>
      <c r="C1410" s="468"/>
      <c r="D1410" s="468"/>
      <c r="E1410" s="323"/>
      <c r="F1410" s="323"/>
      <c r="G1410" s="780"/>
      <c r="H1410" s="760"/>
      <c r="I1410" s="780"/>
      <c r="J1410" s="713"/>
      <c r="K1410" s="468"/>
      <c r="L1410" s="469"/>
    </row>
    <row r="1411" spans="1:12" s="315" customFormat="1" x14ac:dyDescent="0.25">
      <c r="A1411" s="752"/>
      <c r="B1411" s="469"/>
      <c r="C1411" s="468"/>
      <c r="D1411" s="468"/>
      <c r="E1411" s="323"/>
      <c r="F1411" s="323"/>
      <c r="G1411" s="780"/>
      <c r="H1411" s="760"/>
      <c r="I1411" s="780"/>
      <c r="J1411" s="713"/>
      <c r="K1411" s="468"/>
      <c r="L1411" s="469"/>
    </row>
    <row r="1412" spans="1:12" s="315" customFormat="1" x14ac:dyDescent="0.25">
      <c r="A1412" s="752"/>
      <c r="B1412" s="469"/>
      <c r="C1412" s="468"/>
      <c r="D1412" s="468"/>
      <c r="E1412" s="323"/>
      <c r="F1412" s="323"/>
      <c r="G1412" s="780"/>
      <c r="H1412" s="760"/>
      <c r="I1412" s="780"/>
      <c r="J1412" s="713"/>
      <c r="K1412" s="468"/>
      <c r="L1412" s="469"/>
    </row>
    <row r="1413" spans="1:12" s="315" customFormat="1" x14ac:dyDescent="0.25">
      <c r="A1413" s="752"/>
      <c r="B1413" s="469"/>
      <c r="C1413" s="468"/>
      <c r="D1413" s="468"/>
      <c r="E1413" s="323"/>
      <c r="F1413" s="323"/>
      <c r="G1413" s="780"/>
      <c r="H1413" s="760"/>
      <c r="I1413" s="780"/>
      <c r="J1413" s="713"/>
      <c r="K1413" s="468"/>
      <c r="L1413" s="469"/>
    </row>
    <row r="1414" spans="1:12" s="315" customFormat="1" x14ac:dyDescent="0.25">
      <c r="A1414" s="752"/>
      <c r="B1414" s="469"/>
      <c r="C1414" s="468"/>
      <c r="D1414" s="468"/>
      <c r="E1414" s="323"/>
      <c r="F1414" s="323"/>
      <c r="G1414" s="780"/>
      <c r="H1414" s="760"/>
      <c r="I1414" s="780"/>
      <c r="J1414" s="713"/>
      <c r="K1414" s="468"/>
      <c r="L1414" s="469"/>
    </row>
    <row r="1415" spans="1:12" s="315" customFormat="1" x14ac:dyDescent="0.25">
      <c r="A1415" s="752"/>
      <c r="B1415" s="469"/>
      <c r="C1415" s="468"/>
      <c r="D1415" s="468"/>
      <c r="E1415" s="323"/>
      <c r="F1415" s="323"/>
      <c r="G1415" s="780"/>
      <c r="H1415" s="760"/>
      <c r="I1415" s="780"/>
      <c r="J1415" s="713"/>
      <c r="K1415" s="468"/>
      <c r="L1415" s="469"/>
    </row>
    <row r="1416" spans="1:12" s="315" customFormat="1" x14ac:dyDescent="0.25">
      <c r="A1416" s="752"/>
      <c r="B1416" s="469"/>
      <c r="C1416" s="468"/>
      <c r="D1416" s="468"/>
      <c r="E1416" s="323"/>
      <c r="F1416" s="323"/>
      <c r="G1416" s="780"/>
      <c r="H1416" s="760"/>
      <c r="I1416" s="780"/>
      <c r="J1416" s="713"/>
      <c r="K1416" s="468"/>
      <c r="L1416" s="469"/>
    </row>
    <row r="1417" spans="1:12" s="315" customFormat="1" x14ac:dyDescent="0.25">
      <c r="A1417" s="752"/>
      <c r="B1417" s="469"/>
      <c r="C1417" s="468"/>
      <c r="D1417" s="468"/>
      <c r="E1417" s="323"/>
      <c r="F1417" s="323"/>
      <c r="G1417" s="780"/>
      <c r="H1417" s="760"/>
      <c r="I1417" s="780"/>
      <c r="J1417" s="713"/>
      <c r="K1417" s="468"/>
      <c r="L1417" s="469"/>
    </row>
    <row r="1418" spans="1:12" s="315" customFormat="1" x14ac:dyDescent="0.25">
      <c r="A1418" s="752"/>
      <c r="B1418" s="469"/>
      <c r="C1418" s="468"/>
      <c r="D1418" s="468"/>
      <c r="E1418" s="323"/>
      <c r="F1418" s="323"/>
      <c r="G1418" s="780"/>
      <c r="H1418" s="760"/>
      <c r="I1418" s="780"/>
      <c r="J1418" s="713"/>
      <c r="K1418" s="468"/>
      <c r="L1418" s="469"/>
    </row>
    <row r="1419" spans="1:12" s="315" customFormat="1" x14ac:dyDescent="0.25">
      <c r="A1419" s="752"/>
      <c r="B1419" s="469"/>
      <c r="C1419" s="468"/>
      <c r="D1419" s="468"/>
      <c r="E1419" s="323"/>
      <c r="F1419" s="323"/>
      <c r="G1419" s="780"/>
      <c r="H1419" s="760"/>
      <c r="I1419" s="780"/>
      <c r="J1419" s="713"/>
      <c r="K1419" s="468"/>
      <c r="L1419" s="469"/>
    </row>
    <row r="1420" spans="1:12" s="315" customFormat="1" x14ac:dyDescent="0.25">
      <c r="A1420" s="752"/>
      <c r="B1420" s="469"/>
      <c r="C1420" s="468"/>
      <c r="D1420" s="468"/>
      <c r="E1420" s="323"/>
      <c r="F1420" s="323"/>
      <c r="G1420" s="780"/>
      <c r="H1420" s="760"/>
      <c r="I1420" s="780"/>
      <c r="J1420" s="713"/>
      <c r="K1420" s="468"/>
      <c r="L1420" s="469"/>
    </row>
    <row r="1421" spans="1:12" s="315" customFormat="1" x14ac:dyDescent="0.25">
      <c r="A1421" s="752"/>
      <c r="B1421" s="469"/>
      <c r="C1421" s="468"/>
      <c r="D1421" s="468"/>
      <c r="E1421" s="323"/>
      <c r="F1421" s="323"/>
      <c r="G1421" s="780"/>
      <c r="H1421" s="760"/>
      <c r="I1421" s="780"/>
      <c r="J1421" s="713"/>
      <c r="K1421" s="468"/>
      <c r="L1421" s="469"/>
    </row>
    <row r="1422" spans="1:12" s="315" customFormat="1" x14ac:dyDescent="0.25">
      <c r="A1422" s="752"/>
      <c r="B1422" s="469"/>
      <c r="C1422" s="468"/>
      <c r="D1422" s="468"/>
      <c r="E1422" s="323"/>
      <c r="F1422" s="323"/>
      <c r="G1422" s="780"/>
      <c r="H1422" s="760"/>
      <c r="I1422" s="780"/>
      <c r="J1422" s="713"/>
      <c r="K1422" s="468"/>
      <c r="L1422" s="469"/>
    </row>
    <row r="1423" spans="1:12" s="315" customFormat="1" x14ac:dyDescent="0.25">
      <c r="A1423" s="752"/>
      <c r="B1423" s="469"/>
      <c r="C1423" s="468"/>
      <c r="D1423" s="468"/>
      <c r="E1423" s="323"/>
      <c r="F1423" s="323"/>
      <c r="G1423" s="780"/>
      <c r="H1423" s="760"/>
      <c r="I1423" s="780"/>
      <c r="J1423" s="713"/>
      <c r="K1423" s="468"/>
      <c r="L1423" s="469"/>
    </row>
    <row r="1424" spans="1:12" s="315" customFormat="1" x14ac:dyDescent="0.25">
      <c r="A1424" s="752"/>
      <c r="B1424" s="469"/>
      <c r="C1424" s="468"/>
      <c r="D1424" s="468"/>
      <c r="E1424" s="323"/>
      <c r="F1424" s="323"/>
      <c r="G1424" s="780"/>
      <c r="H1424" s="760"/>
      <c r="I1424" s="780"/>
      <c r="J1424" s="713"/>
      <c r="K1424" s="468"/>
      <c r="L1424" s="469"/>
    </row>
    <row r="1425" spans="1:12" s="315" customFormat="1" x14ac:dyDescent="0.25">
      <c r="A1425" s="752"/>
      <c r="B1425" s="469"/>
      <c r="C1425" s="468"/>
      <c r="D1425" s="468"/>
      <c r="E1425" s="323"/>
      <c r="F1425" s="323"/>
      <c r="G1425" s="780"/>
      <c r="H1425" s="760"/>
      <c r="I1425" s="780"/>
      <c r="J1425" s="713"/>
      <c r="K1425" s="468"/>
      <c r="L1425" s="469"/>
    </row>
    <row r="1426" spans="1:12" s="315" customFormat="1" x14ac:dyDescent="0.25">
      <c r="A1426" s="752"/>
      <c r="B1426" s="469"/>
      <c r="C1426" s="468"/>
      <c r="D1426" s="468"/>
      <c r="E1426" s="323"/>
      <c r="F1426" s="323"/>
      <c r="G1426" s="780"/>
      <c r="H1426" s="760"/>
      <c r="I1426" s="780"/>
      <c r="J1426" s="713"/>
      <c r="K1426" s="468"/>
      <c r="L1426" s="469"/>
    </row>
    <row r="1427" spans="1:12" s="315" customFormat="1" x14ac:dyDescent="0.25">
      <c r="A1427" s="752"/>
      <c r="B1427" s="469"/>
      <c r="C1427" s="468"/>
      <c r="D1427" s="468"/>
      <c r="E1427" s="323"/>
      <c r="F1427" s="323"/>
      <c r="G1427" s="780"/>
      <c r="H1427" s="760"/>
      <c r="I1427" s="780"/>
      <c r="J1427" s="713"/>
      <c r="K1427" s="468"/>
      <c r="L1427" s="469"/>
    </row>
    <row r="1428" spans="1:12" s="315" customFormat="1" x14ac:dyDescent="0.25">
      <c r="A1428" s="752"/>
      <c r="B1428" s="469"/>
      <c r="C1428" s="468"/>
      <c r="D1428" s="468"/>
      <c r="E1428" s="323"/>
      <c r="F1428" s="323"/>
      <c r="G1428" s="780"/>
      <c r="H1428" s="760"/>
      <c r="I1428" s="780"/>
      <c r="J1428" s="713"/>
      <c r="K1428" s="468"/>
      <c r="L1428" s="469"/>
    </row>
    <row r="1429" spans="1:12" s="315" customFormat="1" x14ac:dyDescent="0.25">
      <c r="A1429" s="752"/>
      <c r="B1429" s="469"/>
      <c r="C1429" s="468"/>
      <c r="D1429" s="468"/>
      <c r="E1429" s="323"/>
      <c r="F1429" s="323"/>
      <c r="G1429" s="780"/>
      <c r="H1429" s="760"/>
      <c r="I1429" s="780"/>
      <c r="J1429" s="713"/>
      <c r="K1429" s="468"/>
      <c r="L1429" s="469"/>
    </row>
    <row r="1430" spans="1:12" s="315" customFormat="1" x14ac:dyDescent="0.25">
      <c r="A1430" s="752"/>
      <c r="B1430" s="469"/>
      <c r="C1430" s="468"/>
      <c r="D1430" s="468"/>
      <c r="E1430" s="323"/>
      <c r="F1430" s="323"/>
      <c r="G1430" s="780"/>
      <c r="H1430" s="760"/>
      <c r="I1430" s="780"/>
      <c r="J1430" s="713"/>
      <c r="K1430" s="468"/>
      <c r="L1430" s="469"/>
    </row>
    <row r="1431" spans="1:12" s="315" customFormat="1" x14ac:dyDescent="0.25">
      <c r="A1431" s="752"/>
      <c r="B1431" s="469"/>
      <c r="C1431" s="468"/>
      <c r="D1431" s="468"/>
      <c r="E1431" s="323"/>
      <c r="F1431" s="323"/>
      <c r="G1431" s="780"/>
      <c r="H1431" s="760"/>
      <c r="I1431" s="780"/>
      <c r="J1431" s="713"/>
      <c r="K1431" s="468"/>
      <c r="L1431" s="469"/>
    </row>
    <row r="1432" spans="1:12" s="315" customFormat="1" x14ac:dyDescent="0.25">
      <c r="A1432" s="752"/>
      <c r="B1432" s="469"/>
      <c r="C1432" s="468"/>
      <c r="D1432" s="468"/>
      <c r="E1432" s="323"/>
      <c r="F1432" s="323"/>
      <c r="G1432" s="780"/>
      <c r="H1432" s="760"/>
      <c r="I1432" s="780"/>
      <c r="J1432" s="713"/>
      <c r="K1432" s="468"/>
      <c r="L1432" s="469"/>
    </row>
    <row r="1433" spans="1:12" s="315" customFormat="1" x14ac:dyDescent="0.25">
      <c r="A1433" s="752"/>
      <c r="B1433" s="469"/>
      <c r="C1433" s="468"/>
      <c r="D1433" s="468"/>
      <c r="E1433" s="323"/>
      <c r="F1433" s="323"/>
      <c r="G1433" s="780"/>
      <c r="H1433" s="760"/>
      <c r="I1433" s="780"/>
      <c r="J1433" s="713"/>
      <c r="K1433" s="468"/>
      <c r="L1433" s="469"/>
    </row>
    <row r="1434" spans="1:12" s="315" customFormat="1" x14ac:dyDescent="0.25">
      <c r="A1434" s="752"/>
      <c r="B1434" s="469"/>
      <c r="C1434" s="468"/>
      <c r="D1434" s="468"/>
      <c r="E1434" s="323"/>
      <c r="F1434" s="323"/>
      <c r="G1434" s="780"/>
      <c r="H1434" s="760"/>
      <c r="I1434" s="780"/>
      <c r="J1434" s="713"/>
      <c r="K1434" s="468"/>
      <c r="L1434" s="469"/>
    </row>
    <row r="1435" spans="1:12" s="315" customFormat="1" x14ac:dyDescent="0.25">
      <c r="A1435" s="752"/>
      <c r="B1435" s="469"/>
      <c r="C1435" s="468"/>
      <c r="D1435" s="468"/>
      <c r="E1435" s="323"/>
      <c r="F1435" s="323"/>
      <c r="G1435" s="780"/>
      <c r="H1435" s="760"/>
      <c r="I1435" s="780"/>
      <c r="J1435" s="713"/>
      <c r="K1435" s="468"/>
      <c r="L1435" s="469"/>
    </row>
    <row r="1436" spans="1:12" s="315" customFormat="1" x14ac:dyDescent="0.25">
      <c r="A1436" s="752"/>
      <c r="B1436" s="469"/>
      <c r="C1436" s="468"/>
      <c r="D1436" s="468"/>
      <c r="E1436" s="323"/>
      <c r="F1436" s="323"/>
      <c r="G1436" s="780"/>
      <c r="H1436" s="760"/>
      <c r="I1436" s="780"/>
      <c r="J1436" s="713"/>
      <c r="K1436" s="468"/>
      <c r="L1436" s="469"/>
    </row>
    <row r="1437" spans="1:12" s="315" customFormat="1" x14ac:dyDescent="0.25">
      <c r="A1437" s="752"/>
      <c r="B1437" s="469"/>
      <c r="C1437" s="468"/>
      <c r="D1437" s="468"/>
      <c r="E1437" s="323"/>
      <c r="F1437" s="323"/>
      <c r="G1437" s="780"/>
      <c r="H1437" s="760"/>
      <c r="I1437" s="780"/>
      <c r="J1437" s="713"/>
      <c r="K1437" s="468"/>
      <c r="L1437" s="469"/>
    </row>
    <row r="1438" spans="1:12" s="315" customFormat="1" x14ac:dyDescent="0.25">
      <c r="A1438" s="752"/>
      <c r="B1438" s="469"/>
      <c r="C1438" s="468"/>
      <c r="D1438" s="468"/>
      <c r="E1438" s="323"/>
      <c r="F1438" s="323"/>
      <c r="G1438" s="780"/>
      <c r="H1438" s="760"/>
      <c r="I1438" s="780"/>
      <c r="J1438" s="713"/>
      <c r="K1438" s="468"/>
      <c r="L1438" s="469"/>
    </row>
    <row r="1439" spans="1:12" s="315" customFormat="1" x14ac:dyDescent="0.25">
      <c r="A1439" s="752"/>
      <c r="B1439" s="469"/>
      <c r="C1439" s="468"/>
      <c r="D1439" s="468"/>
      <c r="E1439" s="323"/>
      <c r="F1439" s="323"/>
      <c r="G1439" s="780"/>
      <c r="H1439" s="760"/>
      <c r="I1439" s="780"/>
      <c r="J1439" s="713"/>
      <c r="K1439" s="468"/>
      <c r="L1439" s="469"/>
    </row>
    <row r="1440" spans="1:12" s="315" customFormat="1" x14ac:dyDescent="0.25">
      <c r="A1440" s="752"/>
      <c r="B1440" s="469"/>
      <c r="C1440" s="468"/>
      <c r="D1440" s="468"/>
      <c r="E1440" s="323"/>
      <c r="F1440" s="323"/>
      <c r="G1440" s="780"/>
      <c r="H1440" s="760"/>
      <c r="I1440" s="780"/>
      <c r="J1440" s="713"/>
      <c r="K1440" s="468"/>
      <c r="L1440" s="469"/>
    </row>
    <row r="1441" spans="1:12" s="315" customFormat="1" x14ac:dyDescent="0.25">
      <c r="A1441" s="752"/>
      <c r="B1441" s="469"/>
      <c r="C1441" s="468"/>
      <c r="D1441" s="468"/>
      <c r="E1441" s="323"/>
      <c r="F1441" s="323"/>
      <c r="G1441" s="780"/>
      <c r="H1441" s="760"/>
      <c r="I1441" s="780"/>
      <c r="J1441" s="713"/>
      <c r="K1441" s="468"/>
      <c r="L1441" s="469"/>
    </row>
    <row r="1442" spans="1:12" s="315" customFormat="1" x14ac:dyDescent="0.25">
      <c r="A1442" s="752"/>
      <c r="B1442" s="469"/>
      <c r="C1442" s="468"/>
      <c r="D1442" s="468"/>
      <c r="E1442" s="323"/>
      <c r="F1442" s="323"/>
      <c r="G1442" s="780"/>
      <c r="H1442" s="760"/>
      <c r="I1442" s="780"/>
      <c r="J1442" s="713"/>
      <c r="K1442" s="468"/>
      <c r="L1442" s="469"/>
    </row>
    <row r="1443" spans="1:12" s="315" customFormat="1" x14ac:dyDescent="0.25">
      <c r="A1443" s="752"/>
      <c r="B1443" s="469"/>
      <c r="C1443" s="468"/>
      <c r="D1443" s="468"/>
      <c r="E1443" s="323"/>
      <c r="F1443" s="323"/>
      <c r="G1443" s="780"/>
      <c r="H1443" s="760"/>
      <c r="I1443" s="780"/>
      <c r="J1443" s="713"/>
      <c r="K1443" s="468"/>
      <c r="L1443" s="469"/>
    </row>
    <row r="1444" spans="1:12" s="315" customFormat="1" x14ac:dyDescent="0.25">
      <c r="A1444" s="752"/>
      <c r="B1444" s="469"/>
      <c r="C1444" s="468"/>
      <c r="D1444" s="468"/>
      <c r="E1444" s="323"/>
      <c r="F1444" s="323"/>
      <c r="G1444" s="780"/>
      <c r="H1444" s="760"/>
      <c r="I1444" s="780"/>
      <c r="J1444" s="713"/>
      <c r="K1444" s="468"/>
      <c r="L1444" s="469"/>
    </row>
    <row r="1445" spans="1:12" s="315" customFormat="1" x14ac:dyDescent="0.25">
      <c r="A1445" s="752"/>
      <c r="B1445" s="469"/>
      <c r="C1445" s="468"/>
      <c r="D1445" s="468"/>
      <c r="E1445" s="323"/>
      <c r="F1445" s="323"/>
      <c r="G1445" s="780"/>
      <c r="H1445" s="760"/>
      <c r="I1445" s="780"/>
      <c r="J1445" s="713"/>
      <c r="K1445" s="468"/>
      <c r="L1445" s="469"/>
    </row>
    <row r="1446" spans="1:12" s="315" customFormat="1" x14ac:dyDescent="0.25">
      <c r="A1446" s="752"/>
      <c r="B1446" s="469"/>
      <c r="C1446" s="468"/>
      <c r="D1446" s="468"/>
      <c r="E1446" s="323"/>
      <c r="F1446" s="323"/>
      <c r="G1446" s="780"/>
      <c r="H1446" s="760"/>
      <c r="I1446" s="780"/>
      <c r="J1446" s="713"/>
      <c r="K1446" s="468"/>
      <c r="L1446" s="469"/>
    </row>
    <row r="1447" spans="1:12" s="315" customFormat="1" x14ac:dyDescent="0.25">
      <c r="A1447" s="752"/>
      <c r="B1447" s="469"/>
      <c r="C1447" s="468"/>
      <c r="D1447" s="468"/>
      <c r="E1447" s="323"/>
      <c r="F1447" s="323"/>
      <c r="G1447" s="780"/>
      <c r="H1447" s="760"/>
      <c r="I1447" s="780"/>
      <c r="J1447" s="713"/>
      <c r="K1447" s="468"/>
      <c r="L1447" s="469"/>
    </row>
    <row r="1448" spans="1:12" s="315" customFormat="1" x14ac:dyDescent="0.25">
      <c r="A1448" s="752"/>
      <c r="B1448" s="469"/>
      <c r="C1448" s="468"/>
      <c r="D1448" s="468"/>
      <c r="E1448" s="323"/>
      <c r="F1448" s="323"/>
      <c r="G1448" s="780"/>
      <c r="H1448" s="760"/>
      <c r="I1448" s="780"/>
      <c r="J1448" s="713"/>
      <c r="K1448" s="468"/>
      <c r="L1448" s="469"/>
    </row>
    <row r="1449" spans="1:12" s="315" customFormat="1" x14ac:dyDescent="0.25">
      <c r="A1449" s="752"/>
      <c r="B1449" s="469"/>
      <c r="C1449" s="468"/>
      <c r="D1449" s="468"/>
      <c r="E1449" s="323"/>
      <c r="F1449" s="323"/>
      <c r="G1449" s="780"/>
      <c r="H1449" s="760"/>
      <c r="I1449" s="780"/>
      <c r="J1449" s="713"/>
      <c r="K1449" s="468"/>
      <c r="L1449" s="469"/>
    </row>
    <row r="1450" spans="1:12" s="315" customFormat="1" x14ac:dyDescent="0.25">
      <c r="A1450" s="752"/>
      <c r="B1450" s="469"/>
      <c r="C1450" s="468"/>
      <c r="D1450" s="468"/>
      <c r="E1450" s="323"/>
      <c r="F1450" s="323"/>
      <c r="G1450" s="780"/>
      <c r="H1450" s="760"/>
      <c r="I1450" s="780"/>
      <c r="J1450" s="713"/>
      <c r="K1450" s="468"/>
      <c r="L1450" s="469"/>
    </row>
    <row r="1451" spans="1:12" s="315" customFormat="1" x14ac:dyDescent="0.25">
      <c r="A1451" s="752"/>
      <c r="B1451" s="469"/>
      <c r="C1451" s="468"/>
      <c r="D1451" s="468"/>
      <c r="E1451" s="323"/>
      <c r="F1451" s="323"/>
      <c r="G1451" s="780"/>
      <c r="H1451" s="760"/>
      <c r="I1451" s="780"/>
      <c r="J1451" s="713"/>
      <c r="K1451" s="468"/>
      <c r="L1451" s="469"/>
    </row>
    <row r="1452" spans="1:12" s="315" customFormat="1" x14ac:dyDescent="0.25">
      <c r="A1452" s="752"/>
      <c r="B1452" s="469"/>
      <c r="C1452" s="468"/>
      <c r="D1452" s="468"/>
      <c r="E1452" s="323"/>
      <c r="F1452" s="323"/>
      <c r="G1452" s="780"/>
      <c r="H1452" s="760"/>
      <c r="I1452" s="780"/>
      <c r="J1452" s="713"/>
      <c r="K1452" s="468"/>
      <c r="L1452" s="469"/>
    </row>
    <row r="1453" spans="1:12" s="315" customFormat="1" x14ac:dyDescent="0.25">
      <c r="A1453" s="752"/>
      <c r="B1453" s="469"/>
      <c r="C1453" s="468"/>
      <c r="D1453" s="468"/>
      <c r="E1453" s="323"/>
      <c r="F1453" s="323"/>
      <c r="G1453" s="780"/>
      <c r="H1453" s="760"/>
      <c r="I1453" s="780"/>
      <c r="J1453" s="713"/>
      <c r="K1453" s="468"/>
      <c r="L1453" s="469"/>
    </row>
    <row r="1454" spans="1:12" s="315" customFormat="1" x14ac:dyDescent="0.25">
      <c r="A1454" s="752"/>
      <c r="B1454" s="469"/>
      <c r="C1454" s="468"/>
      <c r="D1454" s="468"/>
      <c r="E1454" s="323"/>
      <c r="F1454" s="323"/>
      <c r="G1454" s="780"/>
      <c r="H1454" s="760"/>
      <c r="I1454" s="780"/>
      <c r="J1454" s="713"/>
      <c r="K1454" s="468"/>
      <c r="L1454" s="469"/>
    </row>
    <row r="1455" spans="1:12" s="315" customFormat="1" x14ac:dyDescent="0.25">
      <c r="A1455" s="752"/>
      <c r="B1455" s="469"/>
      <c r="C1455" s="468"/>
      <c r="D1455" s="468"/>
      <c r="E1455" s="323"/>
      <c r="F1455" s="323"/>
      <c r="G1455" s="780"/>
      <c r="H1455" s="760"/>
      <c r="I1455" s="780"/>
      <c r="J1455" s="713"/>
      <c r="K1455" s="468"/>
      <c r="L1455" s="469"/>
    </row>
    <row r="1456" spans="1:12" s="315" customFormat="1" x14ac:dyDescent="0.25">
      <c r="A1456" s="752"/>
      <c r="B1456" s="469"/>
      <c r="C1456" s="468"/>
      <c r="D1456" s="468"/>
      <c r="E1456" s="323"/>
      <c r="F1456" s="323"/>
      <c r="G1456" s="780"/>
      <c r="H1456" s="760"/>
      <c r="I1456" s="780"/>
      <c r="J1456" s="713"/>
      <c r="K1456" s="468"/>
      <c r="L1456" s="469"/>
    </row>
    <row r="1457" spans="1:12" s="315" customFormat="1" x14ac:dyDescent="0.25">
      <c r="A1457" s="752"/>
      <c r="B1457" s="469"/>
      <c r="C1457" s="468"/>
      <c r="D1457" s="468"/>
      <c r="E1457" s="323"/>
      <c r="F1457" s="323"/>
      <c r="G1457" s="780"/>
      <c r="H1457" s="760"/>
      <c r="I1457" s="780"/>
      <c r="J1457" s="713"/>
      <c r="K1457" s="468"/>
      <c r="L1457" s="469"/>
    </row>
    <row r="1458" spans="1:12" s="315" customFormat="1" x14ac:dyDescent="0.25">
      <c r="A1458" s="752"/>
      <c r="B1458" s="469"/>
      <c r="C1458" s="468"/>
      <c r="D1458" s="468"/>
      <c r="E1458" s="323"/>
      <c r="F1458" s="323"/>
      <c r="G1458" s="780"/>
      <c r="H1458" s="760"/>
      <c r="I1458" s="780"/>
      <c r="J1458" s="713"/>
      <c r="K1458" s="468"/>
      <c r="L1458" s="469"/>
    </row>
    <row r="1459" spans="1:12" s="315" customFormat="1" x14ac:dyDescent="0.25">
      <c r="A1459" s="752"/>
      <c r="B1459" s="469"/>
      <c r="C1459" s="468"/>
      <c r="D1459" s="468"/>
      <c r="E1459" s="323"/>
      <c r="F1459" s="323"/>
      <c r="G1459" s="780"/>
      <c r="H1459" s="760"/>
      <c r="I1459" s="780"/>
      <c r="J1459" s="713"/>
      <c r="K1459" s="468"/>
      <c r="L1459" s="469"/>
    </row>
    <row r="1460" spans="1:12" s="315" customFormat="1" x14ac:dyDescent="0.25">
      <c r="A1460" s="752"/>
      <c r="B1460" s="469"/>
      <c r="C1460" s="468"/>
      <c r="D1460" s="468"/>
      <c r="E1460" s="323"/>
      <c r="F1460" s="323"/>
      <c r="G1460" s="780"/>
      <c r="H1460" s="760"/>
      <c r="I1460" s="780"/>
      <c r="J1460" s="713"/>
      <c r="K1460" s="468"/>
      <c r="L1460" s="469"/>
    </row>
    <row r="1461" spans="1:12" s="315" customFormat="1" x14ac:dyDescent="0.25">
      <c r="A1461" s="752"/>
      <c r="B1461" s="469"/>
      <c r="C1461" s="468"/>
      <c r="D1461" s="468"/>
      <c r="E1461" s="323"/>
      <c r="F1461" s="323"/>
      <c r="G1461" s="780"/>
      <c r="H1461" s="760"/>
      <c r="I1461" s="780"/>
      <c r="J1461" s="713"/>
      <c r="K1461" s="468"/>
      <c r="L1461" s="469"/>
    </row>
    <row r="1462" spans="1:12" s="315" customFormat="1" x14ac:dyDescent="0.25">
      <c r="A1462" s="752"/>
      <c r="B1462" s="469"/>
      <c r="C1462" s="468"/>
      <c r="D1462" s="468"/>
      <c r="E1462" s="323"/>
      <c r="F1462" s="323"/>
      <c r="G1462" s="780"/>
      <c r="H1462" s="760"/>
      <c r="I1462" s="780"/>
      <c r="J1462" s="713"/>
      <c r="K1462" s="468"/>
      <c r="L1462" s="469"/>
    </row>
  </sheetData>
  <mergeCells count="1279">
    <mergeCell ref="H408:H410"/>
    <mergeCell ref="I408:I410"/>
    <mergeCell ref="J408:J410"/>
    <mergeCell ref="K408:K410"/>
    <mergeCell ref="L408:L410"/>
    <mergeCell ref="B751:B753"/>
    <mergeCell ref="B754:B756"/>
    <mergeCell ref="C751:C753"/>
    <mergeCell ref="C754:C756"/>
    <mergeCell ref="G751:G753"/>
    <mergeCell ref="G754:G756"/>
    <mergeCell ref="I751:I753"/>
    <mergeCell ref="J751:J753"/>
    <mergeCell ref="K751:K753"/>
    <mergeCell ref="L751:L753"/>
    <mergeCell ref="H755:H756"/>
    <mergeCell ref="I755:I756"/>
    <mergeCell ref="C252:C254"/>
    <mergeCell ref="G252:G254"/>
    <mergeCell ref="B384:B386"/>
    <mergeCell ref="C384:C386"/>
    <mergeCell ref="G384:G386"/>
    <mergeCell ref="B387:B389"/>
    <mergeCell ref="C387:C389"/>
    <mergeCell ref="G387:G389"/>
    <mergeCell ref="H387:H389"/>
    <mergeCell ref="I387:I389"/>
    <mergeCell ref="J387:J389"/>
    <mergeCell ref="K387:K389"/>
    <mergeCell ref="H384:H386"/>
    <mergeCell ref="I384:I386"/>
    <mergeCell ref="J384:J386"/>
    <mergeCell ref="K384:K386"/>
    <mergeCell ref="B405:B407"/>
    <mergeCell ref="C405:C407"/>
    <mergeCell ref="G405:G407"/>
    <mergeCell ref="L130:L132"/>
    <mergeCell ref="B255:B257"/>
    <mergeCell ref="C255:C257"/>
    <mergeCell ref="G255:G257"/>
    <mergeCell ref="H255:H257"/>
    <mergeCell ref="I255:I257"/>
    <mergeCell ref="J255:J257"/>
    <mergeCell ref="K255:K257"/>
    <mergeCell ref="H381:H383"/>
    <mergeCell ref="I381:I383"/>
    <mergeCell ref="J381:J383"/>
    <mergeCell ref="K381:K383"/>
    <mergeCell ref="H368:H370"/>
    <mergeCell ref="I368:I370"/>
    <mergeCell ref="J368:J370"/>
    <mergeCell ref="K368:K370"/>
    <mergeCell ref="B371:B377"/>
    <mergeCell ref="C371:C377"/>
    <mergeCell ref="G371:G377"/>
    <mergeCell ref="D374:D377"/>
    <mergeCell ref="E374:E377"/>
    <mergeCell ref="F374:F377"/>
    <mergeCell ref="B359:B361"/>
    <mergeCell ref="B353:B355"/>
    <mergeCell ref="B249:B251"/>
    <mergeCell ref="C249:C251"/>
    <mergeCell ref="G249:G251"/>
    <mergeCell ref="H249:H251"/>
    <mergeCell ref="I249:I251"/>
    <mergeCell ref="J249:J251"/>
    <mergeCell ref="K249:K251"/>
    <mergeCell ref="B252:B254"/>
    <mergeCell ref="J353:J355"/>
    <mergeCell ref="K353:K355"/>
    <mergeCell ref="B356:B358"/>
    <mergeCell ref="L374:L377"/>
    <mergeCell ref="H371:H375"/>
    <mergeCell ref="I371:I375"/>
    <mergeCell ref="J371:J375"/>
    <mergeCell ref="K371:K375"/>
    <mergeCell ref="B378:B380"/>
    <mergeCell ref="C378:C380"/>
    <mergeCell ref="G378:G380"/>
    <mergeCell ref="H378:H379"/>
    <mergeCell ref="I378:I379"/>
    <mergeCell ref="J378:J379"/>
    <mergeCell ref="K378:K379"/>
    <mergeCell ref="B368:B370"/>
    <mergeCell ref="C368:C370"/>
    <mergeCell ref="B362:B364"/>
    <mergeCell ref="C362:C364"/>
    <mergeCell ref="G362:G364"/>
    <mergeCell ref="H363:H364"/>
    <mergeCell ref="I363:I364"/>
    <mergeCell ref="J363:J364"/>
    <mergeCell ref="K363:K364"/>
    <mergeCell ref="B365:B367"/>
    <mergeCell ref="C365:C367"/>
    <mergeCell ref="G365:G367"/>
    <mergeCell ref="H365:H367"/>
    <mergeCell ref="L338:L340"/>
    <mergeCell ref="B341:B343"/>
    <mergeCell ref="C341:C343"/>
    <mergeCell ref="G341:G343"/>
    <mergeCell ref="H341:H342"/>
    <mergeCell ref="I341:I342"/>
    <mergeCell ref="J341:J342"/>
    <mergeCell ref="K341:K342"/>
    <mergeCell ref="B344:B346"/>
    <mergeCell ref="C344:C346"/>
    <mergeCell ref="G344:G346"/>
    <mergeCell ref="H344:H346"/>
    <mergeCell ref="I344:I346"/>
    <mergeCell ref="J344:J346"/>
    <mergeCell ref="K344:K346"/>
    <mergeCell ref="I365:I367"/>
    <mergeCell ref="J365:J367"/>
    <mergeCell ref="K365:K367"/>
    <mergeCell ref="C356:C358"/>
    <mergeCell ref="G356:G358"/>
    <mergeCell ref="I356:I358"/>
    <mergeCell ref="J356:J358"/>
    <mergeCell ref="K356:K358"/>
    <mergeCell ref="H356:H358"/>
    <mergeCell ref="H360:H361"/>
    <mergeCell ref="I360:I361"/>
    <mergeCell ref="J360:J361"/>
    <mergeCell ref="K360:K361"/>
    <mergeCell ref="J350:J352"/>
    <mergeCell ref="K350:K352"/>
    <mergeCell ref="K347:K349"/>
    <mergeCell ref="B350:B352"/>
    <mergeCell ref="G151:G155"/>
    <mergeCell ref="K272:K278"/>
    <mergeCell ref="H279:H284"/>
    <mergeCell ref="I279:I284"/>
    <mergeCell ref="J279:J284"/>
    <mergeCell ref="K279:K284"/>
    <mergeCell ref="H173:H179"/>
    <mergeCell ref="I173:I179"/>
    <mergeCell ref="I216:I218"/>
    <mergeCell ref="G216:G218"/>
    <mergeCell ref="G219:G221"/>
    <mergeCell ref="B325:B327"/>
    <mergeCell ref="C325:C327"/>
    <mergeCell ref="G325:G327"/>
    <mergeCell ref="H325:H327"/>
    <mergeCell ref="I325:I327"/>
    <mergeCell ref="J325:J327"/>
    <mergeCell ref="K325:K327"/>
    <mergeCell ref="H210:H212"/>
    <mergeCell ref="I210:I212"/>
    <mergeCell ref="C210:C212"/>
    <mergeCell ref="C156:C158"/>
    <mergeCell ref="C159:C161"/>
    <mergeCell ref="C216:C218"/>
    <mergeCell ref="C219:C221"/>
    <mergeCell ref="C222:C224"/>
    <mergeCell ref="K316:K318"/>
    <mergeCell ref="J261:J271"/>
    <mergeCell ref="K228:K230"/>
    <mergeCell ref="H272:H278"/>
    <mergeCell ref="I272:I278"/>
    <mergeCell ref="J272:J278"/>
    <mergeCell ref="A715:A723"/>
    <mergeCell ref="B715:B717"/>
    <mergeCell ref="C715:C717"/>
    <mergeCell ref="G715:G717"/>
    <mergeCell ref="H715:H717"/>
    <mergeCell ref="I715:I717"/>
    <mergeCell ref="J715:J717"/>
    <mergeCell ref="B565:B571"/>
    <mergeCell ref="B721:B723"/>
    <mergeCell ref="C721:C723"/>
    <mergeCell ref="G721:G723"/>
    <mergeCell ref="H721:H723"/>
    <mergeCell ref="I721:I723"/>
    <mergeCell ref="J721:J723"/>
    <mergeCell ref="J316:J318"/>
    <mergeCell ref="A240:A383"/>
    <mergeCell ref="A390:A401"/>
    <mergeCell ref="B486:B488"/>
    <mergeCell ref="C456:C458"/>
    <mergeCell ref="C459:C461"/>
    <mergeCell ref="C486:C488"/>
    <mergeCell ref="B240:B242"/>
    <mergeCell ref="B285:B296"/>
    <mergeCell ref="C300:C309"/>
    <mergeCell ref="B261:B284"/>
    <mergeCell ref="B300:B309"/>
    <mergeCell ref="C240:C242"/>
    <mergeCell ref="C243:C245"/>
    <mergeCell ref="C353:C355"/>
    <mergeCell ref="G353:G355"/>
    <mergeCell ref="C359:C361"/>
    <mergeCell ref="J400:J401"/>
    <mergeCell ref="K721:K723"/>
    <mergeCell ref="B390:B392"/>
    <mergeCell ref="B469:B471"/>
    <mergeCell ref="B472:B474"/>
    <mergeCell ref="G465:G468"/>
    <mergeCell ref="G469:G471"/>
    <mergeCell ref="G472:G474"/>
    <mergeCell ref="G498:G500"/>
    <mergeCell ref="G501:G503"/>
    <mergeCell ref="G504:G506"/>
    <mergeCell ref="G486:G488"/>
    <mergeCell ref="B481:B485"/>
    <mergeCell ref="B402:B404"/>
    <mergeCell ref="C402:C404"/>
    <mergeCell ref="B396:B398"/>
    <mergeCell ref="C396:C398"/>
    <mergeCell ref="B475:B477"/>
    <mergeCell ref="B465:B468"/>
    <mergeCell ref="B415:B417"/>
    <mergeCell ref="B411:B414"/>
    <mergeCell ref="B443:B455"/>
    <mergeCell ref="C393:C395"/>
    <mergeCell ref="C399:C401"/>
    <mergeCell ref="B393:B395"/>
    <mergeCell ref="K418:K428"/>
    <mergeCell ref="K429:K435"/>
    <mergeCell ref="K436:K442"/>
    <mergeCell ref="J436:J442"/>
    <mergeCell ref="K625:K627"/>
    <mergeCell ref="B628:B630"/>
    <mergeCell ref="C628:C630"/>
    <mergeCell ref="K634:K636"/>
    <mergeCell ref="K400:K401"/>
    <mergeCell ref="K715:K717"/>
    <mergeCell ref="B718:B720"/>
    <mergeCell ref="C718:C720"/>
    <mergeCell ref="G718:G720"/>
    <mergeCell ref="H718:H720"/>
    <mergeCell ref="I718:I720"/>
    <mergeCell ref="J718:J720"/>
    <mergeCell ref="K718:K720"/>
    <mergeCell ref="C535:C537"/>
    <mergeCell ref="C522:C524"/>
    <mergeCell ref="C519:C521"/>
    <mergeCell ref="C525:C527"/>
    <mergeCell ref="B519:B521"/>
    <mergeCell ref="B575:B577"/>
    <mergeCell ref="C575:C577"/>
    <mergeCell ref="B572:B574"/>
    <mergeCell ref="K498:K500"/>
    <mergeCell ref="I501:I503"/>
    <mergeCell ref="B528:B531"/>
    <mergeCell ref="B522:B524"/>
    <mergeCell ref="B510:B512"/>
    <mergeCell ref="B513:B515"/>
    <mergeCell ref="B504:B506"/>
    <mergeCell ref="B507:B509"/>
    <mergeCell ref="B498:B500"/>
    <mergeCell ref="K594:K596"/>
    <mergeCell ref="G561:G563"/>
    <mergeCell ref="I625:I627"/>
    <mergeCell ref="J625:J627"/>
    <mergeCell ref="B625:B627"/>
    <mergeCell ref="C625:C627"/>
    <mergeCell ref="D338:D340"/>
    <mergeCell ref="C492:C494"/>
    <mergeCell ref="B492:B494"/>
    <mergeCell ref="C528:C531"/>
    <mergeCell ref="D319:D324"/>
    <mergeCell ref="E319:E324"/>
    <mergeCell ref="G542:G544"/>
    <mergeCell ref="G545:G548"/>
    <mergeCell ref="J429:J435"/>
    <mergeCell ref="C411:C414"/>
    <mergeCell ref="B555:B557"/>
    <mergeCell ref="B558:B560"/>
    <mergeCell ref="K496:K497"/>
    <mergeCell ref="K528:K531"/>
    <mergeCell ref="J513:J515"/>
    <mergeCell ref="K513:K515"/>
    <mergeCell ref="I507:I509"/>
    <mergeCell ref="J525:J527"/>
    <mergeCell ref="K525:K527"/>
    <mergeCell ref="I498:I500"/>
    <mergeCell ref="J498:J500"/>
    <mergeCell ref="J507:J509"/>
    <mergeCell ref="K507:K509"/>
    <mergeCell ref="H511:H512"/>
    <mergeCell ref="H501:H503"/>
    <mergeCell ref="I504:I506"/>
    <mergeCell ref="J504:J506"/>
    <mergeCell ref="K504:K506"/>
    <mergeCell ref="H507:H509"/>
    <mergeCell ref="J501:J503"/>
    <mergeCell ref="B545:B548"/>
    <mergeCell ref="C545:C548"/>
    <mergeCell ref="L303:L309"/>
    <mergeCell ref="L288:L296"/>
    <mergeCell ref="L319:L324"/>
    <mergeCell ref="G492:G494"/>
    <mergeCell ref="G456:G458"/>
    <mergeCell ref="G459:G461"/>
    <mergeCell ref="G462:G464"/>
    <mergeCell ref="G489:G491"/>
    <mergeCell ref="G475:G477"/>
    <mergeCell ref="G481:G485"/>
    <mergeCell ref="B489:B491"/>
    <mergeCell ref="B549:B551"/>
    <mergeCell ref="B552:B554"/>
    <mergeCell ref="C549:C551"/>
    <mergeCell ref="C542:C544"/>
    <mergeCell ref="B542:B544"/>
    <mergeCell ref="C489:C491"/>
    <mergeCell ref="B501:B503"/>
    <mergeCell ref="I489:I491"/>
    <mergeCell ref="J489:J491"/>
    <mergeCell ref="K489:K491"/>
    <mergeCell ref="H486:H488"/>
    <mergeCell ref="I486:I488"/>
    <mergeCell ref="J486:J488"/>
    <mergeCell ref="K486:K488"/>
    <mergeCell ref="K532:K534"/>
    <mergeCell ref="H532:H534"/>
    <mergeCell ref="I532:I534"/>
    <mergeCell ref="J532:J534"/>
    <mergeCell ref="I516:I518"/>
    <mergeCell ref="J516:J518"/>
    <mergeCell ref="K516:K518"/>
    <mergeCell ref="I228:I230"/>
    <mergeCell ref="H313:H315"/>
    <mergeCell ref="I313:I315"/>
    <mergeCell ref="J313:J315"/>
    <mergeCell ref="K313:K315"/>
    <mergeCell ref="H246:H248"/>
    <mergeCell ref="J246:J248"/>
    <mergeCell ref="K246:K248"/>
    <mergeCell ref="H258:H260"/>
    <mergeCell ref="I258:I260"/>
    <mergeCell ref="J258:J260"/>
    <mergeCell ref="K258:K260"/>
    <mergeCell ref="I310:I312"/>
    <mergeCell ref="J310:J312"/>
    <mergeCell ref="K310:K312"/>
    <mergeCell ref="H261:H271"/>
    <mergeCell ref="I261:I271"/>
    <mergeCell ref="H310:H312"/>
    <mergeCell ref="L189:L209"/>
    <mergeCell ref="L165:L185"/>
    <mergeCell ref="I180:I185"/>
    <mergeCell ref="J180:J185"/>
    <mergeCell ref="K180:K185"/>
    <mergeCell ref="H180:H185"/>
    <mergeCell ref="H162:H172"/>
    <mergeCell ref="I162:I172"/>
    <mergeCell ref="J162:J172"/>
    <mergeCell ref="K162:K172"/>
    <mergeCell ref="J173:J179"/>
    <mergeCell ref="K173:K179"/>
    <mergeCell ref="K225:K227"/>
    <mergeCell ref="I237:I239"/>
    <mergeCell ref="J237:J239"/>
    <mergeCell ref="K237:K239"/>
    <mergeCell ref="J210:J212"/>
    <mergeCell ref="K210:K212"/>
    <mergeCell ref="J219:J221"/>
    <mergeCell ref="K219:K221"/>
    <mergeCell ref="J225:J227"/>
    <mergeCell ref="H228:H230"/>
    <mergeCell ref="H216:H218"/>
    <mergeCell ref="H222:H224"/>
    <mergeCell ref="I222:I224"/>
    <mergeCell ref="H225:H227"/>
    <mergeCell ref="H234:H236"/>
    <mergeCell ref="I234:I236"/>
    <mergeCell ref="J228:J230"/>
    <mergeCell ref="J216:J218"/>
    <mergeCell ref="K216:K218"/>
    <mergeCell ref="K213:K215"/>
    <mergeCell ref="G228:G230"/>
    <mergeCell ref="G313:G315"/>
    <mergeCell ref="G368:G370"/>
    <mergeCell ref="G234:G236"/>
    <mergeCell ref="G237:G239"/>
    <mergeCell ref="G240:G242"/>
    <mergeCell ref="E446:E455"/>
    <mergeCell ref="F446:F455"/>
    <mergeCell ref="F421:F442"/>
    <mergeCell ref="F319:F324"/>
    <mergeCell ref="F288:F296"/>
    <mergeCell ref="E303:E309"/>
    <mergeCell ref="F303:F309"/>
    <mergeCell ref="G415:G417"/>
    <mergeCell ref="G411:G414"/>
    <mergeCell ref="G399:G401"/>
    <mergeCell ref="G396:G398"/>
    <mergeCell ref="E288:E296"/>
    <mergeCell ref="G261:G284"/>
    <mergeCell ref="G246:G248"/>
    <mergeCell ref="G258:G260"/>
    <mergeCell ref="G243:G245"/>
    <mergeCell ref="G297:G299"/>
    <mergeCell ref="G418:G442"/>
    <mergeCell ref="G285:G296"/>
    <mergeCell ref="G310:G312"/>
    <mergeCell ref="E338:E340"/>
    <mergeCell ref="F338:F340"/>
    <mergeCell ref="G359:G361"/>
    <mergeCell ref="G402:G404"/>
    <mergeCell ref="G350:G352"/>
    <mergeCell ref="G335:G340"/>
    <mergeCell ref="B316:B324"/>
    <mergeCell ref="C316:C324"/>
    <mergeCell ref="C297:C299"/>
    <mergeCell ref="B313:B315"/>
    <mergeCell ref="C313:C315"/>
    <mergeCell ref="B335:B340"/>
    <mergeCell ref="C335:C340"/>
    <mergeCell ref="B456:B458"/>
    <mergeCell ref="C415:C417"/>
    <mergeCell ref="A528:A537"/>
    <mergeCell ref="B532:B534"/>
    <mergeCell ref="C532:C534"/>
    <mergeCell ref="A498:A527"/>
    <mergeCell ref="C513:C515"/>
    <mergeCell ref="C504:C506"/>
    <mergeCell ref="B535:B537"/>
    <mergeCell ref="C498:C500"/>
    <mergeCell ref="C501:C503"/>
    <mergeCell ref="C507:C509"/>
    <mergeCell ref="C510:C512"/>
    <mergeCell ref="B525:B527"/>
    <mergeCell ref="B495:B497"/>
    <mergeCell ref="C495:C497"/>
    <mergeCell ref="B516:B518"/>
    <mergeCell ref="C516:C518"/>
    <mergeCell ref="A411:A485"/>
    <mergeCell ref="B459:B461"/>
    <mergeCell ref="C472:C474"/>
    <mergeCell ref="C481:C485"/>
    <mergeCell ref="C390:C392"/>
    <mergeCell ref="B310:B312"/>
    <mergeCell ref="C350:C352"/>
    <mergeCell ref="K23:K25"/>
    <mergeCell ref="A20:A34"/>
    <mergeCell ref="B32:B34"/>
    <mergeCell ref="H32:H34"/>
    <mergeCell ref="I32:I34"/>
    <mergeCell ref="J32:J34"/>
    <mergeCell ref="K32:K34"/>
    <mergeCell ref="C32:C34"/>
    <mergeCell ref="J29:J31"/>
    <mergeCell ref="K29:K31"/>
    <mergeCell ref="H20:H22"/>
    <mergeCell ref="I20:I22"/>
    <mergeCell ref="J20:J22"/>
    <mergeCell ref="H26:H28"/>
    <mergeCell ref="I26:I28"/>
    <mergeCell ref="J26:J28"/>
    <mergeCell ref="K26:K28"/>
    <mergeCell ref="B26:B28"/>
    <mergeCell ref="C26:C28"/>
    <mergeCell ref="G23:G25"/>
    <mergeCell ref="G26:G28"/>
    <mergeCell ref="G29:G31"/>
    <mergeCell ref="H23:H25"/>
    <mergeCell ref="B29:B31"/>
    <mergeCell ref="C29:C31"/>
    <mergeCell ref="A2:L2"/>
    <mergeCell ref="C3:E3"/>
    <mergeCell ref="C4:E4"/>
    <mergeCell ref="A8:A18"/>
    <mergeCell ref="B8:B18"/>
    <mergeCell ref="C8:C15"/>
    <mergeCell ref="C16:C18"/>
    <mergeCell ref="G8:G15"/>
    <mergeCell ref="G16:G18"/>
    <mergeCell ref="D17:D18"/>
    <mergeCell ref="E17:E18"/>
    <mergeCell ref="F17:F18"/>
    <mergeCell ref="D9:D11"/>
    <mergeCell ref="E9:E11"/>
    <mergeCell ref="F9:F11"/>
    <mergeCell ref="D12:D13"/>
    <mergeCell ref="E12:E13"/>
    <mergeCell ref="F12:F13"/>
    <mergeCell ref="L9:L11"/>
    <mergeCell ref="L12:L13"/>
    <mergeCell ref="B243:B245"/>
    <mergeCell ref="A19:L19"/>
    <mergeCell ref="B20:B22"/>
    <mergeCell ref="C20:C22"/>
    <mergeCell ref="B23:B25"/>
    <mergeCell ref="C23:C25"/>
    <mergeCell ref="G20:G22"/>
    <mergeCell ref="K20:K22"/>
    <mergeCell ref="J23:J25"/>
    <mergeCell ref="A156:A230"/>
    <mergeCell ref="B219:B221"/>
    <mergeCell ref="B222:B224"/>
    <mergeCell ref="H29:H31"/>
    <mergeCell ref="I29:I31"/>
    <mergeCell ref="B35:B37"/>
    <mergeCell ref="C35:C37"/>
    <mergeCell ref="H35:H37"/>
    <mergeCell ref="I35:I37"/>
    <mergeCell ref="I23:I25"/>
    <mergeCell ref="I219:I221"/>
    <mergeCell ref="I225:I227"/>
    <mergeCell ref="G32:G34"/>
    <mergeCell ref="F165:F185"/>
    <mergeCell ref="D189:D209"/>
    <mergeCell ref="G156:G158"/>
    <mergeCell ref="E189:E209"/>
    <mergeCell ref="F189:F209"/>
    <mergeCell ref="D165:D185"/>
    <mergeCell ref="E165:E185"/>
    <mergeCell ref="G35:G37"/>
    <mergeCell ref="I576:I577"/>
    <mergeCell ref="J576:J577"/>
    <mergeCell ref="K576:K577"/>
    <mergeCell ref="G572:G574"/>
    <mergeCell ref="G575:G577"/>
    <mergeCell ref="H576:H577"/>
    <mergeCell ref="C586:C589"/>
    <mergeCell ref="J597:J599"/>
    <mergeCell ref="G597:G599"/>
    <mergeCell ref="A590:L590"/>
    <mergeCell ref="B597:B599"/>
    <mergeCell ref="C597:C599"/>
    <mergeCell ref="A561:A577"/>
    <mergeCell ref="A586:A589"/>
    <mergeCell ref="G586:G589"/>
    <mergeCell ref="L567:L571"/>
    <mergeCell ref="K597:K599"/>
    <mergeCell ref="J594:J596"/>
    <mergeCell ref="B586:B589"/>
    <mergeCell ref="B561:B564"/>
    <mergeCell ref="C561:C564"/>
    <mergeCell ref="H628:H630"/>
    <mergeCell ref="I628:I630"/>
    <mergeCell ref="J628:J630"/>
    <mergeCell ref="K628:K630"/>
    <mergeCell ref="A615:A623"/>
    <mergeCell ref="G618:G620"/>
    <mergeCell ref="H618:H620"/>
    <mergeCell ref="I618:I620"/>
    <mergeCell ref="J618:J620"/>
    <mergeCell ref="K618:K620"/>
    <mergeCell ref="G615:G617"/>
    <mergeCell ref="H615:H617"/>
    <mergeCell ref="I615:I617"/>
    <mergeCell ref="J615:J617"/>
    <mergeCell ref="K615:K617"/>
    <mergeCell ref="B615:B617"/>
    <mergeCell ref="B618:B620"/>
    <mergeCell ref="C615:C617"/>
    <mergeCell ref="C618:C620"/>
    <mergeCell ref="G621:G624"/>
    <mergeCell ref="B621:B624"/>
    <mergeCell ref="C621:C624"/>
    <mergeCell ref="H625:H627"/>
    <mergeCell ref="I653:I655"/>
    <mergeCell ref="J653:J655"/>
    <mergeCell ref="H586:H589"/>
    <mergeCell ref="B656:B658"/>
    <mergeCell ref="C656:C658"/>
    <mergeCell ref="B662:B664"/>
    <mergeCell ref="J648:J651"/>
    <mergeCell ref="K648:K651"/>
    <mergeCell ref="B648:B651"/>
    <mergeCell ref="A648:A651"/>
    <mergeCell ref="B637:B639"/>
    <mergeCell ref="G637:G639"/>
    <mergeCell ref="H637:H639"/>
    <mergeCell ref="I637:I639"/>
    <mergeCell ref="J637:J639"/>
    <mergeCell ref="K637:K639"/>
    <mergeCell ref="A625:A639"/>
    <mergeCell ref="A642:L642"/>
    <mergeCell ref="C643:E643"/>
    <mergeCell ref="B631:B633"/>
    <mergeCell ref="H631:H633"/>
    <mergeCell ref="C631:C633"/>
    <mergeCell ref="I631:I633"/>
    <mergeCell ref="J631:J633"/>
    <mergeCell ref="K631:K633"/>
    <mergeCell ref="B634:B636"/>
    <mergeCell ref="C634:C636"/>
    <mergeCell ref="H634:H636"/>
    <mergeCell ref="I634:I636"/>
    <mergeCell ref="J634:J636"/>
    <mergeCell ref="G625:G627"/>
    <mergeCell ref="G628:G630"/>
    <mergeCell ref="C701:C704"/>
    <mergeCell ref="G701:G704"/>
    <mergeCell ref="J668:J670"/>
    <mergeCell ref="J665:J667"/>
    <mergeCell ref="K665:K667"/>
    <mergeCell ref="H665:H667"/>
    <mergeCell ref="I665:I667"/>
    <mergeCell ref="K659:K661"/>
    <mergeCell ref="H662:H664"/>
    <mergeCell ref="K668:K670"/>
    <mergeCell ref="B659:B661"/>
    <mergeCell ref="C659:C661"/>
    <mergeCell ref="G668:G670"/>
    <mergeCell ref="H659:H661"/>
    <mergeCell ref="G659:G661"/>
    <mergeCell ref="I659:I661"/>
    <mergeCell ref="C662:C664"/>
    <mergeCell ref="G662:G664"/>
    <mergeCell ref="I662:I664"/>
    <mergeCell ref="J662:J664"/>
    <mergeCell ref="K662:K664"/>
    <mergeCell ref="J659:J661"/>
    <mergeCell ref="H684:H686"/>
    <mergeCell ref="I684:I686"/>
    <mergeCell ref="J684:J686"/>
    <mergeCell ref="K684:K686"/>
    <mergeCell ref="B701:B704"/>
    <mergeCell ref="B684:B686"/>
    <mergeCell ref="G684:G686"/>
    <mergeCell ref="K687:K689"/>
    <mergeCell ref="C684:C686"/>
    <mergeCell ref="B709:B711"/>
    <mergeCell ref="B712:B714"/>
    <mergeCell ref="A706:A714"/>
    <mergeCell ref="C712:C714"/>
    <mergeCell ref="G712:G714"/>
    <mergeCell ref="A705:L705"/>
    <mergeCell ref="C706:C708"/>
    <mergeCell ref="G706:G708"/>
    <mergeCell ref="H706:H708"/>
    <mergeCell ref="I706:I708"/>
    <mergeCell ref="J706:J708"/>
    <mergeCell ref="K706:K708"/>
    <mergeCell ref="B706:B708"/>
    <mergeCell ref="C709:C711"/>
    <mergeCell ref="G709:G711"/>
    <mergeCell ref="H709:H711"/>
    <mergeCell ref="I709:I711"/>
    <mergeCell ref="J709:J711"/>
    <mergeCell ref="K709:K711"/>
    <mergeCell ref="H712:H714"/>
    <mergeCell ref="I712:I714"/>
    <mergeCell ref="J712:J714"/>
    <mergeCell ref="K712:K714"/>
    <mergeCell ref="A701:A704"/>
    <mergeCell ref="C696:G696"/>
    <mergeCell ref="C697:G697"/>
    <mergeCell ref="A695:L695"/>
    <mergeCell ref="G665:G667"/>
    <mergeCell ref="I668:I670"/>
    <mergeCell ref="H679:H682"/>
    <mergeCell ref="I679:I682"/>
    <mergeCell ref="A673:L673"/>
    <mergeCell ref="C679:C682"/>
    <mergeCell ref="G679:G682"/>
    <mergeCell ref="J679:J682"/>
    <mergeCell ref="K679:K682"/>
    <mergeCell ref="B679:B682"/>
    <mergeCell ref="A679:A682"/>
    <mergeCell ref="C674:F674"/>
    <mergeCell ref="C675:F675"/>
    <mergeCell ref="J690:J692"/>
    <mergeCell ref="K690:K692"/>
    <mergeCell ref="A684:A692"/>
    <mergeCell ref="A683:L683"/>
    <mergeCell ref="B687:B689"/>
    <mergeCell ref="C687:C689"/>
    <mergeCell ref="G687:G689"/>
    <mergeCell ref="H687:H689"/>
    <mergeCell ref="I687:I689"/>
    <mergeCell ref="J687:J689"/>
    <mergeCell ref="B690:B692"/>
    <mergeCell ref="C690:C692"/>
    <mergeCell ref="G690:G692"/>
    <mergeCell ref="H690:H692"/>
    <mergeCell ref="I690:I692"/>
    <mergeCell ref="G656:G658"/>
    <mergeCell ref="H656:H658"/>
    <mergeCell ref="I656:I658"/>
    <mergeCell ref="C644:E644"/>
    <mergeCell ref="C648:C651"/>
    <mergeCell ref="G648:G651"/>
    <mergeCell ref="H648:H651"/>
    <mergeCell ref="I648:I651"/>
    <mergeCell ref="B612:B614"/>
    <mergeCell ref="K600:K602"/>
    <mergeCell ref="I609:I611"/>
    <mergeCell ref="J609:J611"/>
    <mergeCell ref="K609:K611"/>
    <mergeCell ref="C609:C611"/>
    <mergeCell ref="B600:B602"/>
    <mergeCell ref="B609:B611"/>
    <mergeCell ref="G609:G611"/>
    <mergeCell ref="H609:H611"/>
    <mergeCell ref="A652:L652"/>
    <mergeCell ref="B653:B655"/>
    <mergeCell ref="C653:C655"/>
    <mergeCell ref="K653:K655"/>
    <mergeCell ref="J656:J658"/>
    <mergeCell ref="K656:K658"/>
    <mergeCell ref="A653:A670"/>
    <mergeCell ref="H668:H670"/>
    <mergeCell ref="C665:C667"/>
    <mergeCell ref="C668:C670"/>
    <mergeCell ref="B668:B670"/>
    <mergeCell ref="B665:B667"/>
    <mergeCell ref="G653:G655"/>
    <mergeCell ref="H653:H655"/>
    <mergeCell ref="K558:K560"/>
    <mergeCell ref="I555:I557"/>
    <mergeCell ref="J555:J557"/>
    <mergeCell ref="K555:K557"/>
    <mergeCell ref="C555:C557"/>
    <mergeCell ref="C558:C560"/>
    <mergeCell ref="H549:H551"/>
    <mergeCell ref="I549:I551"/>
    <mergeCell ref="J549:J551"/>
    <mergeCell ref="K549:K551"/>
    <mergeCell ref="I552:I554"/>
    <mergeCell ref="H552:H554"/>
    <mergeCell ref="J552:J554"/>
    <mergeCell ref="K552:K554"/>
    <mergeCell ref="I586:I589"/>
    <mergeCell ref="H525:H527"/>
    <mergeCell ref="I525:I527"/>
    <mergeCell ref="J586:J589"/>
    <mergeCell ref="K586:K589"/>
    <mergeCell ref="C572:C574"/>
    <mergeCell ref="H561:H563"/>
    <mergeCell ref="I561:I563"/>
    <mergeCell ref="J561:J563"/>
    <mergeCell ref="K561:K563"/>
    <mergeCell ref="H572:H574"/>
    <mergeCell ref="I572:I574"/>
    <mergeCell ref="H555:H557"/>
    <mergeCell ref="H558:H560"/>
    <mergeCell ref="I558:I560"/>
    <mergeCell ref="C552:C554"/>
    <mergeCell ref="G528:G531"/>
    <mergeCell ref="H528:H531"/>
    <mergeCell ref="K538:K541"/>
    <mergeCell ref="K535:K537"/>
    <mergeCell ref="G535:G537"/>
    <mergeCell ref="J459:J461"/>
    <mergeCell ref="I443:I447"/>
    <mergeCell ref="J443:J447"/>
    <mergeCell ref="K459:K461"/>
    <mergeCell ref="H448:H451"/>
    <mergeCell ref="H452:H454"/>
    <mergeCell ref="K452:K454"/>
    <mergeCell ref="H462:H464"/>
    <mergeCell ref="I462:I464"/>
    <mergeCell ref="J462:J464"/>
    <mergeCell ref="K462:K464"/>
    <mergeCell ref="H456:H458"/>
    <mergeCell ref="I456:I458"/>
    <mergeCell ref="J456:J458"/>
    <mergeCell ref="K456:K458"/>
    <mergeCell ref="H443:H447"/>
    <mergeCell ref="I513:I515"/>
    <mergeCell ref="J452:J454"/>
    <mergeCell ref="H489:H491"/>
    <mergeCell ref="J448:J451"/>
    <mergeCell ref="K519:K521"/>
    <mergeCell ref="A591:A614"/>
    <mergeCell ref="C612:C614"/>
    <mergeCell ref="G612:G614"/>
    <mergeCell ref="H612:H614"/>
    <mergeCell ref="I612:I614"/>
    <mergeCell ref="J612:J614"/>
    <mergeCell ref="B591:B593"/>
    <mergeCell ref="G516:G518"/>
    <mergeCell ref="L547:L548"/>
    <mergeCell ref="G507:G509"/>
    <mergeCell ref="G510:G512"/>
    <mergeCell ref="G513:G515"/>
    <mergeCell ref="H498:H500"/>
    <mergeCell ref="H513:H515"/>
    <mergeCell ref="K481:K483"/>
    <mergeCell ref="H504:H506"/>
    <mergeCell ref="D547:D548"/>
    <mergeCell ref="E547:E548"/>
    <mergeCell ref="F547:F548"/>
    <mergeCell ref="K501:K503"/>
    <mergeCell ref="H516:H518"/>
    <mergeCell ref="I519:I521"/>
    <mergeCell ref="H522:H524"/>
    <mergeCell ref="I522:I524"/>
    <mergeCell ref="J522:J524"/>
    <mergeCell ref="H535:H537"/>
    <mergeCell ref="I535:I537"/>
    <mergeCell ref="J535:J537"/>
    <mergeCell ref="G525:G527"/>
    <mergeCell ref="G519:G521"/>
    <mergeCell ref="H481:H483"/>
    <mergeCell ref="K522:K524"/>
    <mergeCell ref="B538:B541"/>
    <mergeCell ref="C538:C541"/>
    <mergeCell ref="G538:G541"/>
    <mergeCell ref="H538:H541"/>
    <mergeCell ref="I538:I541"/>
    <mergeCell ref="J538:J541"/>
    <mergeCell ref="G522:G524"/>
    <mergeCell ref="J519:J521"/>
    <mergeCell ref="A549:A560"/>
    <mergeCell ref="G495:G497"/>
    <mergeCell ref="H496:H497"/>
    <mergeCell ref="I496:I497"/>
    <mergeCell ref="J496:J497"/>
    <mergeCell ref="C581:E581"/>
    <mergeCell ref="C582:E582"/>
    <mergeCell ref="J558:J560"/>
    <mergeCell ref="G549:G551"/>
    <mergeCell ref="G552:G554"/>
    <mergeCell ref="G555:G557"/>
    <mergeCell ref="G558:G560"/>
    <mergeCell ref="G532:G534"/>
    <mergeCell ref="H519:H521"/>
    <mergeCell ref="I528:I531"/>
    <mergeCell ref="J528:J531"/>
    <mergeCell ref="A580:L580"/>
    <mergeCell ref="J572:J574"/>
    <mergeCell ref="K572:K574"/>
    <mergeCell ref="C565:C571"/>
    <mergeCell ref="D567:D571"/>
    <mergeCell ref="E567:E571"/>
    <mergeCell ref="F567:F571"/>
    <mergeCell ref="G565:G571"/>
    <mergeCell ref="C603:C605"/>
    <mergeCell ref="G603:G605"/>
    <mergeCell ref="H603:H605"/>
    <mergeCell ref="I603:I605"/>
    <mergeCell ref="J603:J605"/>
    <mergeCell ref="K603:K605"/>
    <mergeCell ref="B606:B608"/>
    <mergeCell ref="C606:C608"/>
    <mergeCell ref="G606:G608"/>
    <mergeCell ref="H606:H608"/>
    <mergeCell ref="I606:I608"/>
    <mergeCell ref="J606:J608"/>
    <mergeCell ref="C600:C602"/>
    <mergeCell ref="G600:G602"/>
    <mergeCell ref="H600:H602"/>
    <mergeCell ref="I600:I602"/>
    <mergeCell ref="C594:C596"/>
    <mergeCell ref="G594:G596"/>
    <mergeCell ref="H594:H596"/>
    <mergeCell ref="I594:I596"/>
    <mergeCell ref="K606:K608"/>
    <mergeCell ref="H597:H599"/>
    <mergeCell ref="I597:I599"/>
    <mergeCell ref="J600:J602"/>
    <mergeCell ref="H591:H593"/>
    <mergeCell ref="I591:I593"/>
    <mergeCell ref="J591:J593"/>
    <mergeCell ref="K591:K593"/>
    <mergeCell ref="B594:B596"/>
    <mergeCell ref="G742:G744"/>
    <mergeCell ref="H742:H744"/>
    <mergeCell ref="I742:I744"/>
    <mergeCell ref="J742:J744"/>
    <mergeCell ref="K742:K744"/>
    <mergeCell ref="A731:A734"/>
    <mergeCell ref="B731:B734"/>
    <mergeCell ref="C731:C734"/>
    <mergeCell ref="G731:G734"/>
    <mergeCell ref="H731:H734"/>
    <mergeCell ref="I731:I734"/>
    <mergeCell ref="J731:J734"/>
    <mergeCell ref="K731:K734"/>
    <mergeCell ref="A735:L735"/>
    <mergeCell ref="A725:L725"/>
    <mergeCell ref="C726:F726"/>
    <mergeCell ref="C727:F727"/>
    <mergeCell ref="A736:A744"/>
    <mergeCell ref="B736:B738"/>
    <mergeCell ref="C736:C738"/>
    <mergeCell ref="G736:G738"/>
    <mergeCell ref="H736:H738"/>
    <mergeCell ref="I736:I738"/>
    <mergeCell ref="J736:J738"/>
    <mergeCell ref="K736:K738"/>
    <mergeCell ref="K612:K614"/>
    <mergeCell ref="B603:B605"/>
    <mergeCell ref="G739:G741"/>
    <mergeCell ref="H739:H741"/>
    <mergeCell ref="I739:I741"/>
    <mergeCell ref="J739:J741"/>
    <mergeCell ref="K739:K741"/>
    <mergeCell ref="H701:H704"/>
    <mergeCell ref="I701:I704"/>
    <mergeCell ref="J701:J704"/>
    <mergeCell ref="K701:K704"/>
    <mergeCell ref="J35:J37"/>
    <mergeCell ref="K35:K37"/>
    <mergeCell ref="B38:B40"/>
    <mergeCell ref="C38:C40"/>
    <mergeCell ref="G38:G40"/>
    <mergeCell ref="H38:H40"/>
    <mergeCell ref="I38:I40"/>
    <mergeCell ref="J38:J40"/>
    <mergeCell ref="K38:K40"/>
    <mergeCell ref="B41:B46"/>
    <mergeCell ref="C41:C46"/>
    <mergeCell ref="D43:D46"/>
    <mergeCell ref="E43:E46"/>
    <mergeCell ref="F43:F46"/>
    <mergeCell ref="G41:G46"/>
    <mergeCell ref="G50:G52"/>
    <mergeCell ref="B53:B55"/>
    <mergeCell ref="J69:J71"/>
    <mergeCell ref="K69:K71"/>
    <mergeCell ref="H72:H74"/>
    <mergeCell ref="I72:I74"/>
    <mergeCell ref="C591:C593"/>
    <mergeCell ref="G591:G593"/>
    <mergeCell ref="B66:B68"/>
    <mergeCell ref="C66:C68"/>
    <mergeCell ref="G66:G68"/>
    <mergeCell ref="H66:H68"/>
    <mergeCell ref="I66:I68"/>
    <mergeCell ref="B742:B744"/>
    <mergeCell ref="C742:C744"/>
    <mergeCell ref="B56:B58"/>
    <mergeCell ref="C56:C58"/>
    <mergeCell ref="G56:G58"/>
    <mergeCell ref="H56:H58"/>
    <mergeCell ref="I56:I58"/>
    <mergeCell ref="J56:J58"/>
    <mergeCell ref="K56:K58"/>
    <mergeCell ref="G59:G65"/>
    <mergeCell ref="E61:E65"/>
    <mergeCell ref="F61:F65"/>
    <mergeCell ref="J66:J68"/>
    <mergeCell ref="K66:K68"/>
    <mergeCell ref="B84:B86"/>
    <mergeCell ref="C84:C86"/>
    <mergeCell ref="G84:G86"/>
    <mergeCell ref="H84:H86"/>
    <mergeCell ref="I84:I86"/>
    <mergeCell ref="J84:J86"/>
    <mergeCell ref="K84:K86"/>
    <mergeCell ref="G69:G71"/>
    <mergeCell ref="H69:H71"/>
    <mergeCell ref="B739:B741"/>
    <mergeCell ref="C739:C741"/>
    <mergeCell ref="B47:B49"/>
    <mergeCell ref="C47:C49"/>
    <mergeCell ref="G47:G49"/>
    <mergeCell ref="H47:H49"/>
    <mergeCell ref="I47:I49"/>
    <mergeCell ref="J47:J49"/>
    <mergeCell ref="K47:K49"/>
    <mergeCell ref="C59:C65"/>
    <mergeCell ref="B59:B65"/>
    <mergeCell ref="D61:D65"/>
    <mergeCell ref="C50:C52"/>
    <mergeCell ref="B50:B52"/>
    <mergeCell ref="H50:H52"/>
    <mergeCell ref="I50:I52"/>
    <mergeCell ref="J50:J52"/>
    <mergeCell ref="K50:K52"/>
    <mergeCell ref="C53:C55"/>
    <mergeCell ref="G53:G55"/>
    <mergeCell ref="H53:H55"/>
    <mergeCell ref="I53:I55"/>
    <mergeCell ref="J53:J55"/>
    <mergeCell ref="K53:K55"/>
    <mergeCell ref="I69:I71"/>
    <mergeCell ref="B69:B71"/>
    <mergeCell ref="C69:C71"/>
    <mergeCell ref="J78:J80"/>
    <mergeCell ref="K78:K80"/>
    <mergeCell ref="B81:B83"/>
    <mergeCell ref="C81:C83"/>
    <mergeCell ref="G81:G83"/>
    <mergeCell ref="H81:H83"/>
    <mergeCell ref="I81:I83"/>
    <mergeCell ref="J81:J83"/>
    <mergeCell ref="K81:K83"/>
    <mergeCell ref="G72:G77"/>
    <mergeCell ref="F74:F77"/>
    <mergeCell ref="E74:E77"/>
    <mergeCell ref="D74:D77"/>
    <mergeCell ref="C72:C77"/>
    <mergeCell ref="B72:B77"/>
    <mergeCell ref="B78:B80"/>
    <mergeCell ref="C78:C80"/>
    <mergeCell ref="J72:J74"/>
    <mergeCell ref="K72:K74"/>
    <mergeCell ref="B101:B103"/>
    <mergeCell ref="C101:C103"/>
    <mergeCell ref="G101:G103"/>
    <mergeCell ref="H101:H103"/>
    <mergeCell ref="I101:I103"/>
    <mergeCell ref="J101:J103"/>
    <mergeCell ref="K101:K103"/>
    <mergeCell ref="B90:B97"/>
    <mergeCell ref="C90:C97"/>
    <mergeCell ref="G90:G97"/>
    <mergeCell ref="B98:B100"/>
    <mergeCell ref="C98:C100"/>
    <mergeCell ref="B87:B89"/>
    <mergeCell ref="C87:C89"/>
    <mergeCell ref="G87:G89"/>
    <mergeCell ref="H87:H89"/>
    <mergeCell ref="I87:I89"/>
    <mergeCell ref="G98:G100"/>
    <mergeCell ref="B123:B125"/>
    <mergeCell ref="C123:C125"/>
    <mergeCell ref="G123:G125"/>
    <mergeCell ref="H123:H125"/>
    <mergeCell ref="I123:I125"/>
    <mergeCell ref="J123:J125"/>
    <mergeCell ref="K123:K125"/>
    <mergeCell ref="B133:B135"/>
    <mergeCell ref="C133:C135"/>
    <mergeCell ref="G133:G135"/>
    <mergeCell ref="B107:B119"/>
    <mergeCell ref="C107:C119"/>
    <mergeCell ref="G107:G119"/>
    <mergeCell ref="B120:B122"/>
    <mergeCell ref="C120:C122"/>
    <mergeCell ref="G120:G122"/>
    <mergeCell ref="H120:H122"/>
    <mergeCell ref="I120:I122"/>
    <mergeCell ref="J120:J122"/>
    <mergeCell ref="K120:K122"/>
    <mergeCell ref="D127:D129"/>
    <mergeCell ref="E127:E129"/>
    <mergeCell ref="F127:F129"/>
    <mergeCell ref="C127:C129"/>
    <mergeCell ref="F130:F132"/>
    <mergeCell ref="G130:G132"/>
    <mergeCell ref="G126:G129"/>
    <mergeCell ref="C130:C132"/>
    <mergeCell ref="B130:B132"/>
    <mergeCell ref="D130:D132"/>
    <mergeCell ref="E130:E132"/>
    <mergeCell ref="J156:J158"/>
    <mergeCell ref="K156:K158"/>
    <mergeCell ref="H156:H158"/>
    <mergeCell ref="I156:I158"/>
    <mergeCell ref="G210:G212"/>
    <mergeCell ref="G159:G161"/>
    <mergeCell ref="G186:G209"/>
    <mergeCell ref="G162:G185"/>
    <mergeCell ref="H159:H161"/>
    <mergeCell ref="I159:I161"/>
    <mergeCell ref="B136:B138"/>
    <mergeCell ref="C136:C138"/>
    <mergeCell ref="G136:G138"/>
    <mergeCell ref="H136:H138"/>
    <mergeCell ref="I136:I138"/>
    <mergeCell ref="J136:J138"/>
    <mergeCell ref="K136:K138"/>
    <mergeCell ref="B139:B141"/>
    <mergeCell ref="C139:C141"/>
    <mergeCell ref="G139:G141"/>
    <mergeCell ref="H139:H141"/>
    <mergeCell ref="I139:I141"/>
    <mergeCell ref="J139:J141"/>
    <mergeCell ref="K139:K141"/>
    <mergeCell ref="B156:B158"/>
    <mergeCell ref="B142:B144"/>
    <mergeCell ref="C142:C144"/>
    <mergeCell ref="G142:G144"/>
    <mergeCell ref="H142:H144"/>
    <mergeCell ref="I142:I144"/>
    <mergeCell ref="B151:B155"/>
    <mergeCell ref="C151:C155"/>
    <mergeCell ref="J390:J392"/>
    <mergeCell ref="K390:K392"/>
    <mergeCell ref="J397:J398"/>
    <mergeCell ref="K397:K398"/>
    <mergeCell ref="B159:B161"/>
    <mergeCell ref="B162:B185"/>
    <mergeCell ref="B210:B212"/>
    <mergeCell ref="J222:J224"/>
    <mergeCell ref="K222:K224"/>
    <mergeCell ref="B213:B215"/>
    <mergeCell ref="C213:C215"/>
    <mergeCell ref="G213:G215"/>
    <mergeCell ref="H213:H215"/>
    <mergeCell ref="I213:I215"/>
    <mergeCell ref="J213:J215"/>
    <mergeCell ref="B234:B236"/>
    <mergeCell ref="C234:C236"/>
    <mergeCell ref="B216:B218"/>
    <mergeCell ref="B225:B227"/>
    <mergeCell ref="C225:C227"/>
    <mergeCell ref="B228:B230"/>
    <mergeCell ref="H219:H221"/>
    <mergeCell ref="C228:C230"/>
    <mergeCell ref="J234:J236"/>
    <mergeCell ref="C162:C185"/>
    <mergeCell ref="C186:C209"/>
    <mergeCell ref="B186:B209"/>
    <mergeCell ref="J159:J161"/>
    <mergeCell ref="K159:K161"/>
    <mergeCell ref="G222:G224"/>
    <mergeCell ref="B231:B233"/>
    <mergeCell ref="G225:G227"/>
    <mergeCell ref="H328:H332"/>
    <mergeCell ref="I328:I332"/>
    <mergeCell ref="J328:J332"/>
    <mergeCell ref="K328:K332"/>
    <mergeCell ref="B347:B349"/>
    <mergeCell ref="B478:B480"/>
    <mergeCell ref="C478:C480"/>
    <mergeCell ref="H393:H395"/>
    <mergeCell ref="I393:I395"/>
    <mergeCell ref="J393:J395"/>
    <mergeCell ref="K393:K395"/>
    <mergeCell ref="K443:K447"/>
    <mergeCell ref="C418:C442"/>
    <mergeCell ref="C462:C464"/>
    <mergeCell ref="C465:C468"/>
    <mergeCell ref="C475:C477"/>
    <mergeCell ref="C443:C455"/>
    <mergeCell ref="B462:B464"/>
    <mergeCell ref="B418:B442"/>
    <mergeCell ref="J469:J471"/>
    <mergeCell ref="C408:C410"/>
    <mergeCell ref="G408:G410"/>
    <mergeCell ref="G390:G392"/>
    <mergeCell ref="G393:G395"/>
    <mergeCell ref="G478:G480"/>
    <mergeCell ref="K448:K451"/>
    <mergeCell ref="I452:I454"/>
    <mergeCell ref="H469:H471"/>
    <mergeCell ref="H436:H442"/>
    <mergeCell ref="I436:I442"/>
    <mergeCell ref="I448:I451"/>
    <mergeCell ref="I390:I392"/>
    <mergeCell ref="C231:C233"/>
    <mergeCell ref="G231:G233"/>
    <mergeCell ref="H231:H233"/>
    <mergeCell ref="I231:I233"/>
    <mergeCell ref="J231:J233"/>
    <mergeCell ref="K231:K233"/>
    <mergeCell ref="B237:B239"/>
    <mergeCell ref="C237:C239"/>
    <mergeCell ref="H237:H239"/>
    <mergeCell ref="I240:I242"/>
    <mergeCell ref="J240:J242"/>
    <mergeCell ref="K240:K242"/>
    <mergeCell ref="J347:J349"/>
    <mergeCell ref="D288:D296"/>
    <mergeCell ref="B399:B401"/>
    <mergeCell ref="C469:C471"/>
    <mergeCell ref="J411:J414"/>
    <mergeCell ref="G316:G324"/>
    <mergeCell ref="D421:D442"/>
    <mergeCell ref="E421:E442"/>
    <mergeCell ref="G381:G383"/>
    <mergeCell ref="D331:D334"/>
    <mergeCell ref="E331:E334"/>
    <mergeCell ref="F331:F334"/>
    <mergeCell ref="H429:H435"/>
    <mergeCell ref="I429:I435"/>
    <mergeCell ref="K234:K236"/>
    <mergeCell ref="H240:H242"/>
    <mergeCell ref="K261:K271"/>
    <mergeCell ref="B258:B260"/>
    <mergeCell ref="C258:C260"/>
    <mergeCell ref="D263:D284"/>
    <mergeCell ref="E263:E284"/>
    <mergeCell ref="F263:F284"/>
    <mergeCell ref="C347:C349"/>
    <mergeCell ref="G347:G349"/>
    <mergeCell ref="H347:H349"/>
    <mergeCell ref="I347:I349"/>
    <mergeCell ref="H397:H398"/>
    <mergeCell ref="I397:I398"/>
    <mergeCell ref="B408:B410"/>
    <mergeCell ref="B328:B334"/>
    <mergeCell ref="C328:C334"/>
    <mergeCell ref="G328:G334"/>
    <mergeCell ref="H390:H392"/>
    <mergeCell ref="C285:C296"/>
    <mergeCell ref="B297:B299"/>
    <mergeCell ref="H350:H352"/>
    <mergeCell ref="I350:I352"/>
    <mergeCell ref="H316:H318"/>
    <mergeCell ref="I316:I318"/>
    <mergeCell ref="B381:B383"/>
    <mergeCell ref="C381:C383"/>
    <mergeCell ref="D303:D309"/>
    <mergeCell ref="G300:G309"/>
    <mergeCell ref="C261:C284"/>
    <mergeCell ref="C310:C312"/>
    <mergeCell ref="H353:H355"/>
    <mergeCell ref="I353:I355"/>
    <mergeCell ref="H400:H401"/>
    <mergeCell ref="I400:I401"/>
    <mergeCell ref="L421:L442"/>
    <mergeCell ref="L446:L455"/>
    <mergeCell ref="K492:K494"/>
    <mergeCell ref="I469:I471"/>
    <mergeCell ref="H459:H461"/>
    <mergeCell ref="I459:I461"/>
    <mergeCell ref="H418:H428"/>
    <mergeCell ref="I418:I428"/>
    <mergeCell ref="H411:H414"/>
    <mergeCell ref="I411:I414"/>
    <mergeCell ref="K411:K414"/>
    <mergeCell ref="H415:H417"/>
    <mergeCell ref="I415:I417"/>
    <mergeCell ref="J415:J417"/>
    <mergeCell ref="K415:K417"/>
    <mergeCell ref="D446:D455"/>
    <mergeCell ref="K469:K471"/>
    <mergeCell ref="H475:H477"/>
    <mergeCell ref="H492:H494"/>
    <mergeCell ref="I492:I494"/>
    <mergeCell ref="J492:J494"/>
    <mergeCell ref="J418:J428"/>
    <mergeCell ref="H479:H480"/>
    <mergeCell ref="I479:I480"/>
    <mergeCell ref="J479:J480"/>
    <mergeCell ref="K479:K480"/>
    <mergeCell ref="G443:G455"/>
    <mergeCell ref="I475:I477"/>
    <mergeCell ref="J475:J477"/>
    <mergeCell ref="K475:K477"/>
    <mergeCell ref="I481:I483"/>
    <mergeCell ref="J481:J483"/>
    <mergeCell ref="L74:L77"/>
    <mergeCell ref="D91:D94"/>
    <mergeCell ref="E91:E94"/>
    <mergeCell ref="F91:F94"/>
    <mergeCell ref="D95:D97"/>
    <mergeCell ref="E95:E97"/>
    <mergeCell ref="F95:F97"/>
    <mergeCell ref="L91:L94"/>
    <mergeCell ref="L95:L97"/>
    <mergeCell ref="D108:D112"/>
    <mergeCell ref="D113:D119"/>
    <mergeCell ref="E108:E112"/>
    <mergeCell ref="F108:F112"/>
    <mergeCell ref="E113:E119"/>
    <mergeCell ref="F113:F119"/>
    <mergeCell ref="H98:H100"/>
    <mergeCell ref="I98:I100"/>
    <mergeCell ref="J98:J100"/>
    <mergeCell ref="K98:K100"/>
    <mergeCell ref="J87:J89"/>
    <mergeCell ref="K87:K89"/>
    <mergeCell ref="G78:G80"/>
    <mergeCell ref="H78:H80"/>
    <mergeCell ref="I78:I80"/>
    <mergeCell ref="B760:B762"/>
    <mergeCell ref="C760:C762"/>
    <mergeCell ref="G760:G762"/>
    <mergeCell ref="H761:H762"/>
    <mergeCell ref="I761:I762"/>
    <mergeCell ref="J761:J762"/>
    <mergeCell ref="K761:K762"/>
    <mergeCell ref="B763:B765"/>
    <mergeCell ref="C763:C765"/>
    <mergeCell ref="G763:G765"/>
    <mergeCell ref="H764:H765"/>
    <mergeCell ref="I764:I765"/>
    <mergeCell ref="J764:J765"/>
    <mergeCell ref="K764:K765"/>
    <mergeCell ref="J142:J144"/>
    <mergeCell ref="K142:K144"/>
    <mergeCell ref="B145:B147"/>
    <mergeCell ref="C145:C147"/>
    <mergeCell ref="G145:G147"/>
    <mergeCell ref="H145:H147"/>
    <mergeCell ref="I145:I147"/>
    <mergeCell ref="J145:J147"/>
    <mergeCell ref="K145:K147"/>
    <mergeCell ref="B757:B759"/>
    <mergeCell ref="C757:C759"/>
    <mergeCell ref="G757:G759"/>
    <mergeCell ref="H757:H759"/>
    <mergeCell ref="I757:I759"/>
    <mergeCell ref="J757:J759"/>
    <mergeCell ref="K757:K759"/>
    <mergeCell ref="B246:B248"/>
    <mergeCell ref="C246:C248"/>
  </mergeCells>
  <printOptions horizontalCentered="1"/>
  <pageMargins left="0.70866141732283472" right="0.51181102362204722" top="0.74803149606299213" bottom="0.55118110236220474" header="0.31496062992125984" footer="0.31496062992125984"/>
  <pageSetup paperSize="9" scale="50" fitToWidth="0" fitToHeight="0" orientation="landscape" r:id="rId1"/>
  <rowBreaks count="8" manualBreakCount="8">
    <brk id="46" max="16383" man="1"/>
    <brk id="100" max="16383" man="1"/>
    <brk id="161" max="16383" man="1"/>
    <brk id="221" max="16383" man="1"/>
    <brk id="364" max="16383" man="1"/>
    <brk id="389" max="16383" man="1"/>
    <brk id="503" max="16383" man="1"/>
    <brk id="5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topLeftCell="A55" zoomScale="90" zoomScaleNormal="100" zoomScaleSheetLayoutView="90" workbookViewId="0">
      <selection activeCell="N110" sqref="N110"/>
    </sheetView>
  </sheetViews>
  <sheetFormatPr defaultRowHeight="15" x14ac:dyDescent="0.25"/>
  <cols>
    <col min="1" max="1" width="86.140625" style="372" customWidth="1"/>
    <col min="2" max="2" width="11.5703125" style="375" customWidth="1"/>
    <col min="3" max="3" width="17.140625" style="372" hidden="1" customWidth="1"/>
    <col min="4" max="6" width="17.140625" style="612" customWidth="1"/>
  </cols>
  <sheetData>
    <row r="1" spans="1:6" ht="42" customHeight="1" thickBot="1" x14ac:dyDescent="0.3">
      <c r="A1" s="377" t="s">
        <v>430</v>
      </c>
      <c r="B1" s="378" t="s">
        <v>431</v>
      </c>
      <c r="C1" s="377">
        <v>2017</v>
      </c>
      <c r="D1" s="575">
        <v>2017</v>
      </c>
      <c r="E1" s="575">
        <v>2018</v>
      </c>
      <c r="F1" s="576">
        <v>2019</v>
      </c>
    </row>
    <row r="2" spans="1:6" ht="18.75" customHeight="1" thickBot="1" x14ac:dyDescent="0.3">
      <c r="A2" s="399" t="s">
        <v>432</v>
      </c>
      <c r="B2" s="400" t="s">
        <v>16</v>
      </c>
      <c r="C2" s="401">
        <f>C3+C4</f>
        <v>546774027.02999997</v>
      </c>
      <c r="D2" s="577">
        <f>D3+D4</f>
        <v>484361528.63</v>
      </c>
      <c r="E2" s="577">
        <f>E3+E4</f>
        <v>484361528.63</v>
      </c>
      <c r="F2" s="578">
        <f>F3+F4</f>
        <v>484361517.97000003</v>
      </c>
    </row>
    <row r="3" spans="1:6" ht="45" x14ac:dyDescent="0.25">
      <c r="A3" s="389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3" s="390" t="s">
        <v>16</v>
      </c>
      <c r="C3" s="392">
        <f>'таблица (всего)'!F48-C11</f>
        <v>68496691.530000001</v>
      </c>
      <c r="D3" s="579">
        <f>'таблица (всего)'!G48-D11</f>
        <v>68496690.530000001</v>
      </c>
      <c r="E3" s="579">
        <f>'таблица (всего)'!H48-E11</f>
        <v>68496690.530000001</v>
      </c>
      <c r="F3" s="580">
        <f>'таблица (всего)'!I48-F11</f>
        <v>68496690.530000001</v>
      </c>
    </row>
    <row r="4" spans="1:6" ht="15.75" thickBot="1" x14ac:dyDescent="0.3">
      <c r="A4" s="382" t="str">
        <f>'таблица (всего)'!C49</f>
        <v>Оказание специализированной медицинской помощи в стационарных условиях</v>
      </c>
      <c r="B4" s="374" t="s">
        <v>16</v>
      </c>
      <c r="C4" s="383">
        <f>'таблица (всего)'!F49</f>
        <v>478277335.5</v>
      </c>
      <c r="D4" s="581">
        <f>'таблица (всего)'!G49</f>
        <v>415864838.10000002</v>
      </c>
      <c r="E4" s="581">
        <f>'таблица (всего)'!H49</f>
        <v>415864838.10000002</v>
      </c>
      <c r="F4" s="582">
        <f>'таблица (всего)'!I49</f>
        <v>415864827.44</v>
      </c>
    </row>
    <row r="5" spans="1:6" ht="21" customHeight="1" thickBot="1" x14ac:dyDescent="0.3">
      <c r="A5" s="399" t="s">
        <v>434</v>
      </c>
      <c r="B5" s="400" t="s">
        <v>16</v>
      </c>
      <c r="C5" s="401">
        <f>C6</f>
        <v>0</v>
      </c>
      <c r="D5" s="577">
        <f>D6</f>
        <v>0</v>
      </c>
      <c r="E5" s="577">
        <f>E6</f>
        <v>0</v>
      </c>
      <c r="F5" s="578">
        <f>F6</f>
        <v>0</v>
      </c>
    </row>
    <row r="6" spans="1:6" ht="15.75" thickBot="1" x14ac:dyDescent="0.3">
      <c r="A6" s="397" t="s">
        <v>435</v>
      </c>
      <c r="B6" s="390" t="s">
        <v>16</v>
      </c>
      <c r="C6" s="392">
        <v>0</v>
      </c>
      <c r="D6" s="579">
        <v>0</v>
      </c>
      <c r="E6" s="579">
        <v>0</v>
      </c>
      <c r="F6" s="580">
        <v>0</v>
      </c>
    </row>
    <row r="7" spans="1:6" ht="21" customHeight="1" thickBot="1" x14ac:dyDescent="0.3">
      <c r="A7" s="399" t="s">
        <v>458</v>
      </c>
      <c r="B7" s="400" t="s">
        <v>17</v>
      </c>
      <c r="C7" s="401">
        <f>C8+C9</f>
        <v>146156853.16999999</v>
      </c>
      <c r="D7" s="577">
        <f>D8+D9</f>
        <v>141784307.16</v>
      </c>
      <c r="E7" s="577">
        <f>E8+E9</f>
        <v>141784307.16</v>
      </c>
      <c r="F7" s="578">
        <f>F8+F9</f>
        <v>141785558.88999999</v>
      </c>
    </row>
    <row r="8" spans="1:6" x14ac:dyDescent="0.25">
      <c r="A8" s="389" t="str">
        <f>'таблица (всего)'!C30</f>
        <v>Оказание первичной медико-санитарной помощи в амбулаторных условиях</v>
      </c>
      <c r="B8" s="390" t="s">
        <v>17</v>
      </c>
      <c r="C8" s="392">
        <f>'таблица (всего)'!F30</f>
        <v>125850786.58</v>
      </c>
      <c r="D8" s="579">
        <f>'таблица (всего)'!G30</f>
        <v>121478240.56999999</v>
      </c>
      <c r="E8" s="579">
        <f>'таблица (всего)'!H30</f>
        <v>121478240.56999999</v>
      </c>
      <c r="F8" s="580">
        <f>'таблица (всего)'!I30</f>
        <v>121479492.3</v>
      </c>
    </row>
    <row r="9" spans="1:6" ht="45.75" thickBot="1" x14ac:dyDescent="0.3">
      <c r="A9" s="388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9" s="374" t="s">
        <v>17</v>
      </c>
      <c r="C9" s="383">
        <f>'таблица (всего)'!F29</f>
        <v>20306066.59</v>
      </c>
      <c r="D9" s="581">
        <f>'таблица (всего)'!G29</f>
        <v>20306066.59</v>
      </c>
      <c r="E9" s="581">
        <f>'таблица (всего)'!H29</f>
        <v>20306066.59</v>
      </c>
      <c r="F9" s="582">
        <f>'таблица (всего)'!I29</f>
        <v>20306066.59</v>
      </c>
    </row>
    <row r="10" spans="1:6" ht="18.75" customHeight="1" thickBot="1" x14ac:dyDescent="0.3">
      <c r="A10" s="399" t="s">
        <v>436</v>
      </c>
      <c r="B10" s="400" t="s">
        <v>433</v>
      </c>
      <c r="C10" s="401">
        <f>C11+C12</f>
        <v>25725871.289999999</v>
      </c>
      <c r="D10" s="577">
        <f>D11+D12</f>
        <v>22463011.98</v>
      </c>
      <c r="E10" s="577">
        <f>E11+E12</f>
        <v>22463011.98</v>
      </c>
      <c r="F10" s="578">
        <f>F11+F12</f>
        <v>22462963.280000001</v>
      </c>
    </row>
    <row r="11" spans="1:6" ht="45" x14ac:dyDescent="0.25">
      <c r="A11" s="398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11" s="390" t="s">
        <v>433</v>
      </c>
      <c r="C11" s="392">
        <v>1841927.8</v>
      </c>
      <c r="D11" s="579">
        <v>1841928.8</v>
      </c>
      <c r="E11" s="579">
        <v>1841928.8</v>
      </c>
      <c r="F11" s="579">
        <v>1841928.8</v>
      </c>
    </row>
    <row r="12" spans="1:6" ht="15.75" thickBot="1" x14ac:dyDescent="0.3">
      <c r="A12" s="382" t="str">
        <f>'таблица (всего)'!C51</f>
        <v>Оказание специализированной медицинской помощи в условиях дневного стационара</v>
      </c>
      <c r="B12" s="374" t="s">
        <v>433</v>
      </c>
      <c r="C12" s="383">
        <f>'таблица (всего)'!F51</f>
        <v>23883943.489999998</v>
      </c>
      <c r="D12" s="581">
        <f>'таблица (всего)'!G51</f>
        <v>20621083.18</v>
      </c>
      <c r="E12" s="581">
        <f>'таблица (всего)'!H51</f>
        <v>20621083.18</v>
      </c>
      <c r="F12" s="582">
        <f>'таблица (всего)'!I51</f>
        <v>20621034.48</v>
      </c>
    </row>
    <row r="13" spans="1:6" ht="15.75" thickBot="1" x14ac:dyDescent="0.3">
      <c r="A13" s="399" t="s">
        <v>437</v>
      </c>
      <c r="B13" s="400" t="s">
        <v>18</v>
      </c>
      <c r="C13" s="401">
        <f>C14</f>
        <v>0</v>
      </c>
      <c r="D13" s="577">
        <f>D14</f>
        <v>0</v>
      </c>
      <c r="E13" s="577">
        <f>E14</f>
        <v>0</v>
      </c>
      <c r="F13" s="578">
        <f>F14</f>
        <v>0</v>
      </c>
    </row>
    <row r="14" spans="1:6" ht="15.75" thickBot="1" x14ac:dyDescent="0.3">
      <c r="A14" s="416" t="s">
        <v>438</v>
      </c>
      <c r="B14" s="417" t="s">
        <v>18</v>
      </c>
      <c r="C14" s="418">
        <v>0</v>
      </c>
      <c r="D14" s="583">
        <v>0</v>
      </c>
      <c r="E14" s="583">
        <v>0</v>
      </c>
      <c r="F14" s="584">
        <v>0</v>
      </c>
    </row>
    <row r="15" spans="1:6" ht="15.75" thickBot="1" x14ac:dyDescent="0.3">
      <c r="A15" s="419" t="s">
        <v>439</v>
      </c>
      <c r="B15" s="420"/>
      <c r="C15" s="421" t="e">
        <f>C16+C19+C20+C21+C22+C23+C26+C29+C30+C31-#REF!+C32+C33+C40</f>
        <v>#REF!</v>
      </c>
      <c r="D15" s="585">
        <f>D16+D19+D20+D21+D22+D23+D26+D29+D30+D31+D32+D33+D40</f>
        <v>417003977.68999994</v>
      </c>
      <c r="E15" s="585">
        <f>E16+E19+E20+E21+E22+E23+E26+E29+E30+E31+E32+E33+E40</f>
        <v>417413223.57999998</v>
      </c>
      <c r="F15" s="585">
        <f>F16+F19+F20+F21+F22+F23+F26+F29+F30+F31+F32+F33+F40</f>
        <v>416893897.65999997</v>
      </c>
    </row>
    <row r="16" spans="1:6" ht="15.75" thickBot="1" x14ac:dyDescent="0.3">
      <c r="A16" s="399" t="s">
        <v>459</v>
      </c>
      <c r="B16" s="400" t="s">
        <v>460</v>
      </c>
      <c r="C16" s="401">
        <f>C17+C18</f>
        <v>18226908.699999999</v>
      </c>
      <c r="D16" s="577">
        <f>D17+D18</f>
        <v>12294834.26</v>
      </c>
      <c r="E16" s="577">
        <f>E17+E18</f>
        <v>12442444.15</v>
      </c>
      <c r="F16" s="578">
        <f>F17+F18</f>
        <v>12491586.01</v>
      </c>
    </row>
    <row r="17" spans="1:6" ht="60" x14ac:dyDescent="0.25">
      <c r="A17" s="389" t="s">
        <v>457</v>
      </c>
      <c r="B17" s="390" t="s">
        <v>17</v>
      </c>
      <c r="C17" s="392">
        <f>'таблица (всего)'!F61</f>
        <v>1648040</v>
      </c>
      <c r="D17" s="579">
        <f>'таблица (всего)'!G61</f>
        <v>1648040</v>
      </c>
      <c r="E17" s="579">
        <f>'таблица (всего)'!H61</f>
        <v>1648040</v>
      </c>
      <c r="F17" s="580">
        <f>'таблица (всего)'!I61</f>
        <v>1648040</v>
      </c>
    </row>
    <row r="18" spans="1:6" ht="30.75" thickBot="1" x14ac:dyDescent="0.3">
      <c r="A18" s="405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B18" s="406" t="s">
        <v>17</v>
      </c>
      <c r="C18" s="408">
        <f>'таблица (всего)'!F62</f>
        <v>16578868.699999999</v>
      </c>
      <c r="D18" s="586">
        <f>'таблица (всего)'!G62</f>
        <v>10646794.26</v>
      </c>
      <c r="E18" s="586">
        <f>'таблица (всего)'!H62</f>
        <v>10794404.15</v>
      </c>
      <c r="F18" s="587">
        <f>'таблица (всего)'!I62</f>
        <v>10843546.01</v>
      </c>
    </row>
    <row r="19" spans="1:6" ht="15.75" thickBot="1" x14ac:dyDescent="0.3">
      <c r="A19" s="409" t="str">
        <f>'таблица (всего)'!C50</f>
        <v xml:space="preserve">Проведение патологоанатомических вскрытий </v>
      </c>
      <c r="B19" s="394" t="s">
        <v>16</v>
      </c>
      <c r="C19" s="396">
        <f>'таблица (всего)'!F50</f>
        <v>15210959.310000001</v>
      </c>
      <c r="D19" s="588">
        <f>'таблица (всего)'!G50</f>
        <v>13953093.43</v>
      </c>
      <c r="E19" s="588">
        <f>'таблица (всего)'!H50</f>
        <v>13953093.43</v>
      </c>
      <c r="F19" s="589">
        <f>'таблица (всего)'!I50</f>
        <v>13953107.560000001</v>
      </c>
    </row>
    <row r="20" spans="1:6" ht="86.25" thickBot="1" x14ac:dyDescent="0.3">
      <c r="A20" s="409" t="str">
        <f>'таблица (всего)'!C104</f>
        <v>Компенсация стоимости проезда лицам,направленным областными учреждениями здравоохранения на обязательное обследование(консультацию) или лечение в областные противотуберкулезные учреждения или их подразделения до места обследования (консультации) или лечения (туда и обратно) на транспорте городского, пригородного и межмуниципального сообщения</v>
      </c>
      <c r="B20" s="394" t="s">
        <v>440</v>
      </c>
      <c r="C20" s="396">
        <f>'таблица (всего)'!F104</f>
        <v>585942.4</v>
      </c>
      <c r="D20" s="588">
        <f>'таблица (всего)'!G105</f>
        <v>300000</v>
      </c>
      <c r="E20" s="588">
        <f>'таблица (всего)'!H105</f>
        <v>300000</v>
      </c>
      <c r="F20" s="588">
        <f>'таблица (всего)'!I105</f>
        <v>300000</v>
      </c>
    </row>
    <row r="21" spans="1:6" ht="57.75" thickBot="1" x14ac:dyDescent="0.3">
      <c r="A21" s="409" t="str">
        <f>'таблица (всего)'!C106</f>
        <v>Обеспечение лиц, состоящих на диспансерном учете в ОБУЗ «Областной противотуберкулезный диспансер имени М.Б. Стоюнина», ежемесячным продуктовым набором на весь период курса противотуберкулезной терапии в амбулаторных условиях и в условиях дневных стационаров</v>
      </c>
      <c r="B21" s="394" t="s">
        <v>441</v>
      </c>
      <c r="C21" s="396">
        <f>'таблица (всего)'!F106</f>
        <v>120000</v>
      </c>
      <c r="D21" s="588">
        <f>'таблица (всего)'!G106</f>
        <v>120000</v>
      </c>
      <c r="E21" s="588">
        <f>'таблица (всего)'!H106</f>
        <v>120000</v>
      </c>
      <c r="F21" s="589">
        <f>'таблица (всего)'!I106</f>
        <v>120000</v>
      </c>
    </row>
    <row r="22" spans="1:6" ht="114.75" thickBot="1" x14ac:dyDescent="0.3">
      <c r="A22" s="410" t="str">
        <f>'таблица (всего)'!C108</f>
        <v>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«искусственная почка» и обратно больным с хронической почечной недостаточностью, получающим данную процедуру в медицинских организациях,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области, в том числе территориальной программы обязательного медицинского страхования</v>
      </c>
      <c r="B22" s="403" t="s">
        <v>433</v>
      </c>
      <c r="C22" s="404">
        <f>'таблица (всего)'!F108</f>
        <v>1001900</v>
      </c>
      <c r="D22" s="590">
        <f>'таблица (всего)'!G108</f>
        <v>1001899.94</v>
      </c>
      <c r="E22" s="590">
        <f>'таблица (всего)'!H108</f>
        <v>1001899.94</v>
      </c>
      <c r="F22" s="591">
        <f>'таблица (всего)'!I108</f>
        <v>1001899.94</v>
      </c>
    </row>
    <row r="23" spans="1:6" ht="29.25" thickBot="1" x14ac:dyDescent="0.3">
      <c r="A23" s="411" t="str">
        <f>'таблица (всего)'!C74</f>
        <v xml:space="preserve">«Заготовка, хранение, транспортировка и обеспечение безопасности донорской крови и (или) ее компонентов» </v>
      </c>
      <c r="B23" s="400"/>
      <c r="C23" s="402">
        <f>C24+C25</f>
        <v>110823006.63</v>
      </c>
      <c r="D23" s="577">
        <f>D24+D25</f>
        <v>92612194.180000007</v>
      </c>
      <c r="E23" s="577">
        <f>E24+E25</f>
        <v>92612194.180000007</v>
      </c>
      <c r="F23" s="592">
        <f>F24+F25</f>
        <v>92612194.180000007</v>
      </c>
    </row>
    <row r="24" spans="1:6" ht="30" x14ac:dyDescent="0.25">
      <c r="A24" s="389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B24" s="390"/>
      <c r="C24" s="392">
        <f>'таблица (всего)'!F79</f>
        <v>102180006.63</v>
      </c>
      <c r="D24" s="579">
        <f>'таблица (всего)'!G79</f>
        <v>83969194.180000007</v>
      </c>
      <c r="E24" s="579">
        <f>'таблица (всего)'!H79</f>
        <v>83969194.180000007</v>
      </c>
      <c r="F24" s="580">
        <f>'таблица (всего)'!I79</f>
        <v>83969194.180000007</v>
      </c>
    </row>
    <row r="25" spans="1:6" ht="30.75" thickBot="1" x14ac:dyDescent="0.3">
      <c r="A25" s="405" t="str">
        <f>'таблица (всего)'!C80</f>
        <v>Обеспечение доноров, безвозмездно сдавших кровь и (или) ее компоненты, бесплатным питанием</v>
      </c>
      <c r="B25" s="406"/>
      <c r="C25" s="408">
        <f>'таблица (всего)'!F80</f>
        <v>8643000</v>
      </c>
      <c r="D25" s="586">
        <f>'таблица (всего)'!G80</f>
        <v>8643000</v>
      </c>
      <c r="E25" s="586">
        <f>'таблица (всего)'!H80</f>
        <v>8643000</v>
      </c>
      <c r="F25" s="587">
        <f>'таблица (всего)'!I80</f>
        <v>8643000</v>
      </c>
    </row>
    <row r="26" spans="1:6" ht="43.5" thickBot="1" x14ac:dyDescent="0.3">
      <c r="A26" s="411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B26" s="400"/>
      <c r="C26" s="402">
        <f>C27+C28</f>
        <v>49041567.780000001</v>
      </c>
      <c r="D26" s="577">
        <f>D27+D28</f>
        <v>43585405.539999999</v>
      </c>
      <c r="E26" s="577">
        <f>E27+E28</f>
        <v>43585405.539999999</v>
      </c>
      <c r="F26" s="592">
        <f>F27+F28</f>
        <v>43585405.539999999</v>
      </c>
    </row>
    <row r="27" spans="1:6" ht="45" x14ac:dyDescent="0.25">
      <c r="A27" s="389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B27" s="390"/>
      <c r="C27" s="392">
        <f>'таблица (всего)'!F85</f>
        <v>3281296.21</v>
      </c>
      <c r="D27" s="579">
        <f>'таблица (всего)'!G85</f>
        <v>3281296.21</v>
      </c>
      <c r="E27" s="579">
        <f>'таблица (всего)'!H85</f>
        <v>3281296.21</v>
      </c>
      <c r="F27" s="580">
        <f>'таблица (всего)'!I85</f>
        <v>3281296.21</v>
      </c>
    </row>
    <row r="28" spans="1:6" ht="60.75" thickBot="1" x14ac:dyDescent="0.3">
      <c r="A28" s="382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B28" s="374"/>
      <c r="C28" s="383">
        <f>'таблица (всего)'!F86</f>
        <v>45760271.57</v>
      </c>
      <c r="D28" s="581">
        <f>'таблица (всего)'!G86</f>
        <v>40304109.329999998</v>
      </c>
      <c r="E28" s="581">
        <f>'таблица (всего)'!H86</f>
        <v>40304109.329999998</v>
      </c>
      <c r="F28" s="582">
        <f>'таблица (всего)'!I86</f>
        <v>40304109.329999998</v>
      </c>
    </row>
    <row r="29" spans="1:6" ht="29.25" thickBot="1" x14ac:dyDescent="0.3">
      <c r="A29" s="409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B29" s="394"/>
      <c r="C29" s="396">
        <f>'таблица (всего)'!F93</f>
        <v>6413870.2800000003</v>
      </c>
      <c r="D29" s="588">
        <f>'таблица (всего)'!G93</f>
        <v>6705615.8700000001</v>
      </c>
      <c r="E29" s="588">
        <f>'таблица (всего)'!H93</f>
        <v>6705615.8700000001</v>
      </c>
      <c r="F29" s="589">
        <f>'таблица (всего)'!I93</f>
        <v>6705616</v>
      </c>
    </row>
    <row r="30" spans="1:6" ht="43.5" thickBot="1" x14ac:dyDescent="0.3">
      <c r="A30" s="409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B30" s="394"/>
      <c r="C30" s="396">
        <f>'таблица (всего)'!F95</f>
        <v>22190295.579999998</v>
      </c>
      <c r="D30" s="588">
        <f>'таблица (всего)'!G95</f>
        <v>19198596.66</v>
      </c>
      <c r="E30" s="588">
        <f>'таблица (всего)'!H95</f>
        <v>19198596.66</v>
      </c>
      <c r="F30" s="589">
        <f>'таблица (всего)'!I95</f>
        <v>19198596.66</v>
      </c>
    </row>
    <row r="31" spans="1:6" ht="29.25" thickBot="1" x14ac:dyDescent="0.3">
      <c r="A31" s="640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B31" s="641"/>
      <c r="C31" s="642">
        <f>'таблица (всего)'!F91</f>
        <v>3608099.37</v>
      </c>
      <c r="D31" s="643">
        <f>'таблица (всего)'!G91</f>
        <v>3371276.69</v>
      </c>
      <c r="E31" s="643">
        <f>'таблица (всего)'!H91</f>
        <v>3371276.69</v>
      </c>
      <c r="F31" s="644">
        <f>'таблица (всего)'!I91</f>
        <v>3371276.69</v>
      </c>
    </row>
    <row r="32" spans="1:6" ht="15.75" thickBot="1" x14ac:dyDescent="0.3">
      <c r="A32" s="409" t="str">
        <f>'таблица (всего)'!C96</f>
        <v xml:space="preserve">«Судебно-медицинская экспертиза» </v>
      </c>
      <c r="B32" s="394"/>
      <c r="C32" s="396">
        <f>'таблица (всего)'!F96</f>
        <v>38384167.079999998</v>
      </c>
      <c r="D32" s="588">
        <f>'таблица (всего)'!G96</f>
        <v>36596104.5</v>
      </c>
      <c r="E32" s="588">
        <f>'таблица (всего)'!H96</f>
        <v>36596104.5</v>
      </c>
      <c r="F32" s="589">
        <f>'таблица (всего)'!I96</f>
        <v>36596104.5</v>
      </c>
    </row>
    <row r="33" spans="1:6" ht="15.75" thickBot="1" x14ac:dyDescent="0.3">
      <c r="A33" s="411" t="s">
        <v>461</v>
      </c>
      <c r="B33" s="400"/>
      <c r="C33" s="401">
        <f>C34+C35+C36+C37+C38+C39</f>
        <v>110719457.96000001</v>
      </c>
      <c r="D33" s="577">
        <f>D34+D35+D36+D37+D38+D39</f>
        <v>182064956.61999997</v>
      </c>
      <c r="E33" s="577">
        <f>E34+E35+E36+E37+E38+E39</f>
        <v>182326592.61999997</v>
      </c>
      <c r="F33" s="578">
        <f>F34+F35+F36+F37+F38+F39</f>
        <v>181758110.57999998</v>
      </c>
    </row>
    <row r="34" spans="1:6" ht="60" x14ac:dyDescent="0.25">
      <c r="A34" s="389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B34" s="390"/>
      <c r="C34" s="392">
        <f>'таблица (всего)'!F33</f>
        <v>5554007.3099999996</v>
      </c>
      <c r="D34" s="579">
        <f>'таблица (всего)'!G33</f>
        <v>6000000</v>
      </c>
      <c r="E34" s="579">
        <f>'таблица (всего)'!H33</f>
        <v>6000000</v>
      </c>
      <c r="F34" s="580">
        <f>'таблица (всего)'!I33</f>
        <v>6000000</v>
      </c>
    </row>
    <row r="35" spans="1:6" ht="45" x14ac:dyDescent="0.25">
      <c r="A35" s="382" t="str">
        <f>'таблица (всего)'!C110</f>
        <v>Обеспечение лиц, больных сахарным диабетом, сахаропонижающими препаратами, средствами индивидуального контроля, средствами введения (шприц-ручки, шприцы инсулиновые и иглы к ним)</v>
      </c>
      <c r="B35" s="374"/>
      <c r="C35" s="383">
        <f>'таблица (всего)'!F110</f>
        <v>64060542</v>
      </c>
      <c r="D35" s="581">
        <f>'таблица (всего)'!G110</f>
        <v>133157813.2</v>
      </c>
      <c r="E35" s="581">
        <f>'таблица (всего)'!H110</f>
        <v>133419449.2</v>
      </c>
      <c r="F35" s="582">
        <f>'таблица (всего)'!I110</f>
        <v>132850967.16</v>
      </c>
    </row>
    <row r="36" spans="1:6" ht="120" x14ac:dyDescent="0.25">
      <c r="A36" s="382" t="str">
        <f>'таблица (всего)'!C111</f>
        <v>Обеспечение больных артериальной гипертонией с 3 - 4 степенью риска осложнений, состоящих на диспансерном учете, не имеющих права на получение мер социальной поддержки по обеспечению лекарственными препаратами по данному заболеванию, в том числе в виде денежных компенсаций, в соответствии с федеральным законодательством, из числа социально не защищенных категорий граждан и работников, подлежащих дополнительной диспансеризации в рамках реализации приоритетного национального проекта в сфере здравоохранения, бесплатным необходимым минимумом гипотензивных лекарственных препаратов</v>
      </c>
      <c r="B36" s="374"/>
      <c r="C36" s="383">
        <f>'таблица (всего)'!F111</f>
        <v>5000</v>
      </c>
      <c r="D36" s="581">
        <f>'таблица (всего)'!G111</f>
        <v>0</v>
      </c>
      <c r="E36" s="581">
        <f>'таблица (всего)'!H111</f>
        <v>0</v>
      </c>
      <c r="F36" s="582">
        <f>'таблица (всего)'!I111</f>
        <v>0</v>
      </c>
    </row>
    <row r="37" spans="1:6" ht="45" x14ac:dyDescent="0.25">
      <c r="A37" s="382" t="str">
        <f>'таблица (всего)'!C112</f>
        <v>Обеспечение детей первых трех лет жизни, страдающих болезнями мочеполовой системы, болезнями органов пищеварения, бронхиальной астмой, болезнями органов дыхания, болезнями нервной системы, бесплатными лекарственными препаратами</v>
      </c>
      <c r="B37" s="374"/>
      <c r="C37" s="383">
        <f>'таблица (всего)'!F112</f>
        <v>2442883.7200000002</v>
      </c>
      <c r="D37" s="581">
        <f>'таблица (всего)'!G112</f>
        <v>5000000</v>
      </c>
      <c r="E37" s="581">
        <f>'таблица (всего)'!H112</f>
        <v>5000000</v>
      </c>
      <c r="F37" s="582">
        <f>'таблица (всего)'!I112</f>
        <v>5000000</v>
      </c>
    </row>
    <row r="38" spans="1:6" ht="90" x14ac:dyDescent="0.25">
      <c r="A38" s="382" t="str">
        <f>'таблица (всего)'!C113</f>
        <v>Обеспечение детей с рождения до 18 лет, страдающих фенилкетонурией, галактоземией, состоящих на диспансерном учете, не являющихся детьми-инвалидами и не имеющих права на получение мер социальной поддержки по обеспечению лекарственными препаратами по данным заболеваниям, в том числе в виде денежных компенсаций, в соответствии с федеральным законодательством, бесплатным лечебным питанием (заместительной терапией)</v>
      </c>
      <c r="B38" s="374"/>
      <c r="C38" s="383">
        <f>'таблица (всего)'!F113</f>
        <v>10057024.93</v>
      </c>
      <c r="D38" s="581">
        <f>'таблица (всего)'!G113</f>
        <v>9307143.4199999999</v>
      </c>
      <c r="E38" s="581">
        <f>'таблица (всего)'!H113</f>
        <v>9307143.4199999999</v>
      </c>
      <c r="F38" s="582">
        <f>'таблица (всего)'!I113</f>
        <v>9307143.4199999999</v>
      </c>
    </row>
    <row r="39" spans="1:6" ht="30.75" thickBot="1" x14ac:dyDescent="0.3">
      <c r="A39" s="415" t="str">
        <f>'таблица (всего)'!C168</f>
        <v xml:space="preserve">Обеспечение полноценным питанием детей в возрасте до трех лет
</v>
      </c>
      <c r="B39" s="406"/>
      <c r="C39" s="408">
        <f>'таблица (всего)'!F168</f>
        <v>28600000</v>
      </c>
      <c r="D39" s="586">
        <f>'таблица (всего)'!G168</f>
        <v>28600000</v>
      </c>
      <c r="E39" s="586">
        <f>'таблица (всего)'!H168</f>
        <v>28600000</v>
      </c>
      <c r="F39" s="587">
        <f>'таблица (всего)'!I168</f>
        <v>28600000</v>
      </c>
    </row>
    <row r="40" spans="1:6" ht="29.25" thickBot="1" x14ac:dyDescent="0.3">
      <c r="A40" s="412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B40" s="413"/>
      <c r="C40" s="414">
        <f>'таблица (всего)'!F31</f>
        <v>5000000</v>
      </c>
      <c r="D40" s="595">
        <f>'таблица (всего)'!G31</f>
        <v>5200000</v>
      </c>
      <c r="E40" s="595">
        <f>'таблица (всего)'!H31</f>
        <v>5200000</v>
      </c>
      <c r="F40" s="596">
        <f>'таблица (всего)'!I31</f>
        <v>5200000</v>
      </c>
    </row>
    <row r="41" spans="1:6" ht="18.75" customHeight="1" thickBot="1" x14ac:dyDescent="0.3">
      <c r="A41" s="411" t="s">
        <v>473</v>
      </c>
      <c r="B41" s="400"/>
      <c r="C41" s="401">
        <f>C42+C50</f>
        <v>18981100</v>
      </c>
      <c r="D41" s="577">
        <f>D42+D50</f>
        <v>0</v>
      </c>
      <c r="E41" s="577">
        <f>E42+E50</f>
        <v>0</v>
      </c>
      <c r="F41" s="578">
        <f>F42+F50</f>
        <v>0</v>
      </c>
    </row>
    <row r="42" spans="1:6" ht="18" customHeight="1" thickBot="1" x14ac:dyDescent="0.3">
      <c r="A42" s="409" t="s">
        <v>470</v>
      </c>
      <c r="B42" s="394"/>
      <c r="C42" s="395">
        <f>SUM(C43:C49)</f>
        <v>6750000</v>
      </c>
      <c r="D42" s="588">
        <f>SUM(D43:D49)</f>
        <v>0</v>
      </c>
      <c r="E42" s="588">
        <f>SUM(E43:E49)</f>
        <v>0</v>
      </c>
      <c r="F42" s="597">
        <f>SUM(F43:F49)</f>
        <v>0</v>
      </c>
    </row>
    <row r="43" spans="1:6" x14ac:dyDescent="0.25">
      <c r="A43" s="389"/>
      <c r="B43" s="390"/>
      <c r="C43" s="391">
        <v>850000</v>
      </c>
      <c r="D43" s="579"/>
      <c r="E43" s="579"/>
      <c r="F43" s="598"/>
    </row>
    <row r="44" spans="1:6" x14ac:dyDescent="0.25">
      <c r="A44" s="382"/>
      <c r="B44" s="374"/>
      <c r="C44" s="376">
        <v>480000</v>
      </c>
      <c r="D44" s="581"/>
      <c r="E44" s="581"/>
      <c r="F44" s="599"/>
    </row>
    <row r="45" spans="1:6" x14ac:dyDescent="0.25">
      <c r="A45" s="382"/>
      <c r="B45" s="374"/>
      <c r="C45" s="376">
        <v>1020000</v>
      </c>
      <c r="D45" s="581"/>
      <c r="E45" s="581"/>
      <c r="F45" s="599"/>
    </row>
    <row r="46" spans="1:6" x14ac:dyDescent="0.25">
      <c r="A46" s="382"/>
      <c r="B46" s="374"/>
      <c r="C46" s="376">
        <v>1400000</v>
      </c>
      <c r="D46" s="581"/>
      <c r="E46" s="581"/>
      <c r="F46" s="599"/>
    </row>
    <row r="47" spans="1:6" x14ac:dyDescent="0.25">
      <c r="A47" s="382"/>
      <c r="B47" s="374"/>
      <c r="C47" s="376">
        <v>500000</v>
      </c>
      <c r="D47" s="581"/>
      <c r="E47" s="581"/>
      <c r="F47" s="599"/>
    </row>
    <row r="48" spans="1:6" x14ac:dyDescent="0.25">
      <c r="A48" s="382"/>
      <c r="B48" s="374"/>
      <c r="C48" s="376">
        <v>1000000</v>
      </c>
      <c r="D48" s="581"/>
      <c r="E48" s="581"/>
      <c r="F48" s="599"/>
    </row>
    <row r="49" spans="1:6" ht="15.75" thickBot="1" x14ac:dyDescent="0.3">
      <c r="A49" s="442"/>
      <c r="B49" s="425"/>
      <c r="C49" s="426">
        <v>1500000</v>
      </c>
      <c r="D49" s="600"/>
      <c r="E49" s="600"/>
      <c r="F49" s="601"/>
    </row>
    <row r="50" spans="1:6" ht="18" customHeight="1" thickBot="1" x14ac:dyDescent="0.3">
      <c r="A50" s="409" t="s">
        <v>471</v>
      </c>
      <c r="B50" s="394"/>
      <c r="C50" s="395">
        <f>SUM(C51:C57)</f>
        <v>12231100</v>
      </c>
      <c r="D50" s="588">
        <f>SUM(D51:D57)</f>
        <v>0</v>
      </c>
      <c r="E50" s="588">
        <f>SUM(E51:E57)</f>
        <v>0</v>
      </c>
      <c r="F50" s="597">
        <f>SUM(F51:F57)</f>
        <v>0</v>
      </c>
    </row>
    <row r="51" spans="1:6" x14ac:dyDescent="0.25">
      <c r="A51" s="389"/>
      <c r="B51" s="390"/>
      <c r="C51" s="391">
        <v>9331100</v>
      </c>
      <c r="D51" s="579"/>
      <c r="E51" s="579"/>
      <c r="F51" s="598"/>
    </row>
    <row r="52" spans="1:6" x14ac:dyDescent="0.25">
      <c r="A52" s="382"/>
      <c r="B52" s="374"/>
      <c r="C52" s="376">
        <v>800000</v>
      </c>
      <c r="D52" s="581"/>
      <c r="E52" s="581"/>
      <c r="F52" s="599"/>
    </row>
    <row r="53" spans="1:6" x14ac:dyDescent="0.25">
      <c r="A53" s="382"/>
      <c r="B53" s="374"/>
      <c r="C53" s="376">
        <v>800000</v>
      </c>
      <c r="D53" s="581"/>
      <c r="E53" s="581"/>
      <c r="F53" s="599"/>
    </row>
    <row r="54" spans="1:6" x14ac:dyDescent="0.25">
      <c r="A54" s="382"/>
      <c r="B54" s="374"/>
      <c r="C54" s="376">
        <v>510000</v>
      </c>
      <c r="D54" s="581"/>
      <c r="E54" s="581"/>
      <c r="F54" s="599"/>
    </row>
    <row r="55" spans="1:6" x14ac:dyDescent="0.25">
      <c r="A55" s="382"/>
      <c r="B55" s="374"/>
      <c r="C55" s="376">
        <v>190000</v>
      </c>
      <c r="D55" s="581"/>
      <c r="E55" s="581"/>
      <c r="F55" s="599"/>
    </row>
    <row r="56" spans="1:6" x14ac:dyDescent="0.25">
      <c r="A56" s="442"/>
      <c r="B56" s="425"/>
      <c r="C56" s="426">
        <v>400000</v>
      </c>
      <c r="D56" s="600"/>
      <c r="E56" s="600"/>
      <c r="F56" s="601"/>
    </row>
    <row r="57" spans="1:6" ht="15.75" thickBot="1" x14ac:dyDescent="0.3">
      <c r="A57" s="405"/>
      <c r="B57" s="406"/>
      <c r="C57" s="407">
        <v>200000</v>
      </c>
      <c r="D57" s="586"/>
      <c r="E57" s="586"/>
      <c r="F57" s="602"/>
    </row>
    <row r="58" spans="1:6" ht="15.75" thickBot="1" x14ac:dyDescent="0.3">
      <c r="A58" s="439" t="s">
        <v>442</v>
      </c>
      <c r="B58" s="440"/>
      <c r="C58" s="441" t="e">
        <f>C2+C5+C7+C10+C13+C15+C41</f>
        <v>#REF!</v>
      </c>
      <c r="D58" s="603">
        <f>D2+D5+D7+D10+D13+D15+D41</f>
        <v>1065612825.4599999</v>
      </c>
      <c r="E58" s="603">
        <f>E2+E5+E7+E10+E13+E15+E41</f>
        <v>1066022071.3499999</v>
      </c>
      <c r="F58" s="604">
        <f>F2+F5+F7+F10+F13+F15+F41</f>
        <v>1065503937.8</v>
      </c>
    </row>
    <row r="59" spans="1:6" x14ac:dyDescent="0.25">
      <c r="A59" s="397" t="s">
        <v>443</v>
      </c>
      <c r="B59" s="390" t="s">
        <v>18</v>
      </c>
      <c r="C59" s="391">
        <f>C13</f>
        <v>0</v>
      </c>
      <c r="D59" s="579">
        <f>D13</f>
        <v>0</v>
      </c>
      <c r="E59" s="579">
        <f>E13</f>
        <v>0</v>
      </c>
      <c r="F59" s="598">
        <f>F13</f>
        <v>0</v>
      </c>
    </row>
    <row r="60" spans="1:6" x14ac:dyDescent="0.25">
      <c r="A60" s="387" t="s">
        <v>444</v>
      </c>
      <c r="B60" s="374" t="s">
        <v>16</v>
      </c>
      <c r="C60" s="376">
        <f>C2</f>
        <v>546774027.02999997</v>
      </c>
      <c r="D60" s="581">
        <f>D2</f>
        <v>484361528.63</v>
      </c>
      <c r="E60" s="581">
        <f>E2</f>
        <v>484361528.63</v>
      </c>
      <c r="F60" s="599">
        <f>F2</f>
        <v>484361517.97000003</v>
      </c>
    </row>
    <row r="61" spans="1:6" x14ac:dyDescent="0.25">
      <c r="A61" s="387" t="s">
        <v>445</v>
      </c>
      <c r="B61" s="374" t="s">
        <v>17</v>
      </c>
      <c r="C61" s="376">
        <f>C7</f>
        <v>146156853.16999999</v>
      </c>
      <c r="D61" s="581">
        <f>D7</f>
        <v>141784307.16</v>
      </c>
      <c r="E61" s="581">
        <f>E7</f>
        <v>141784307.16</v>
      </c>
      <c r="F61" s="599">
        <f>F7</f>
        <v>141785558.88999999</v>
      </c>
    </row>
    <row r="62" spans="1:6" x14ac:dyDescent="0.25">
      <c r="A62" s="387" t="s">
        <v>446</v>
      </c>
      <c r="B62" s="374" t="s">
        <v>433</v>
      </c>
      <c r="C62" s="376">
        <f>C10</f>
        <v>25725871.289999999</v>
      </c>
      <c r="D62" s="581">
        <f>D10</f>
        <v>22463011.98</v>
      </c>
      <c r="E62" s="581">
        <f>E10</f>
        <v>22463011.98</v>
      </c>
      <c r="F62" s="599">
        <f>F10</f>
        <v>22462963.280000001</v>
      </c>
    </row>
    <row r="63" spans="1:6" x14ac:dyDescent="0.25">
      <c r="A63" s="387" t="s">
        <v>447</v>
      </c>
      <c r="B63" s="374" t="s">
        <v>16</v>
      </c>
      <c r="C63" s="376">
        <f>C5</f>
        <v>0</v>
      </c>
      <c r="D63" s="581">
        <f>D5</f>
        <v>0</v>
      </c>
      <c r="E63" s="581">
        <f>E5</f>
        <v>0</v>
      </c>
      <c r="F63" s="599">
        <f>F5</f>
        <v>0</v>
      </c>
    </row>
    <row r="64" spans="1:6" x14ac:dyDescent="0.25">
      <c r="A64" s="424" t="s">
        <v>448</v>
      </c>
      <c r="B64" s="425"/>
      <c r="C64" s="426" t="e">
        <f>C15</f>
        <v>#REF!</v>
      </c>
      <c r="D64" s="600">
        <f>D15</f>
        <v>417003977.68999994</v>
      </c>
      <c r="E64" s="600">
        <f>E15</f>
        <v>417413223.57999998</v>
      </c>
      <c r="F64" s="601">
        <f>F15</f>
        <v>416893897.65999997</v>
      </c>
    </row>
    <row r="65" spans="1:6" ht="15.75" thickBot="1" x14ac:dyDescent="0.3">
      <c r="A65" s="415" t="s">
        <v>472</v>
      </c>
      <c r="B65" s="406"/>
      <c r="C65" s="407">
        <f>C41</f>
        <v>18981100</v>
      </c>
      <c r="D65" s="586">
        <f>D41</f>
        <v>0</v>
      </c>
      <c r="E65" s="586">
        <f>E41</f>
        <v>0</v>
      </c>
      <c r="F65" s="602">
        <f>F41</f>
        <v>0</v>
      </c>
    </row>
    <row r="66" spans="1:6" ht="15.75" thickBot="1" x14ac:dyDescent="0.3">
      <c r="A66" s="393" t="s">
        <v>462</v>
      </c>
      <c r="B66" s="394"/>
      <c r="C66" s="396" t="e">
        <f>SUM(C59:C65)</f>
        <v>#REF!</v>
      </c>
      <c r="D66" s="588">
        <f>SUM(D59:D65)</f>
        <v>1065612825.4599999</v>
      </c>
      <c r="E66" s="588">
        <f>SUM(E59:E65)</f>
        <v>1066022071.3499999</v>
      </c>
      <c r="F66" s="589">
        <f>SUM(F59:F65)</f>
        <v>1065503937.8</v>
      </c>
    </row>
    <row r="67" spans="1:6" ht="15.75" thickBot="1" x14ac:dyDescent="0.3">
      <c r="A67" s="428"/>
      <c r="B67" s="429"/>
      <c r="C67" s="436" t="s">
        <v>464</v>
      </c>
      <c r="D67" s="591" t="s">
        <v>464</v>
      </c>
      <c r="E67" s="590" t="s">
        <v>464</v>
      </c>
      <c r="F67" s="605" t="s">
        <v>464</v>
      </c>
    </row>
    <row r="68" spans="1:6" x14ac:dyDescent="0.25">
      <c r="A68" s="379" t="s">
        <v>463</v>
      </c>
      <c r="B68" s="380"/>
      <c r="C68" s="381" t="e">
        <f>ROUND(C66/1000,1)</f>
        <v>#REF!</v>
      </c>
      <c r="D68" s="606">
        <f>ROUND(D66/1000,1)</f>
        <v>1065612.8</v>
      </c>
      <c r="E68" s="606">
        <f>ROUND(E66/1000,1)</f>
        <v>1066022.1000000001</v>
      </c>
      <c r="F68" s="607">
        <f>ROUND(F66/1000,1)</f>
        <v>1065503.8999999999</v>
      </c>
    </row>
    <row r="69" spans="1:6" x14ac:dyDescent="0.25">
      <c r="A69" s="431" t="s">
        <v>480</v>
      </c>
      <c r="B69" s="373"/>
      <c r="C69" s="432">
        <v>1032500</v>
      </c>
      <c r="D69" s="608">
        <v>1026800</v>
      </c>
      <c r="E69" s="608">
        <v>1020900</v>
      </c>
      <c r="F69" s="609">
        <v>1014900</v>
      </c>
    </row>
    <row r="70" spans="1:6" x14ac:dyDescent="0.25">
      <c r="A70" s="431" t="s">
        <v>465</v>
      </c>
      <c r="B70" s="373"/>
      <c r="C70" s="432" t="e">
        <f>ROUND(C66/C69,1)</f>
        <v>#REF!</v>
      </c>
      <c r="D70" s="608">
        <f>ROUND(D66/D69,1)</f>
        <v>1037.8</v>
      </c>
      <c r="E70" s="608">
        <f>ROUND(E66/E69,1)</f>
        <v>1044.2</v>
      </c>
      <c r="F70" s="609">
        <f>ROUND(F66/F69,1)</f>
        <v>1049.9000000000001</v>
      </c>
    </row>
    <row r="71" spans="1:6" x14ac:dyDescent="0.25">
      <c r="A71" s="431" t="s">
        <v>449</v>
      </c>
      <c r="B71" s="373"/>
      <c r="C71" s="432">
        <v>3488.6</v>
      </c>
      <c r="D71" s="608">
        <v>3488.6</v>
      </c>
      <c r="E71" s="608">
        <v>3488.6</v>
      </c>
      <c r="F71" s="609">
        <v>3488.6</v>
      </c>
    </row>
    <row r="72" spans="1:6" x14ac:dyDescent="0.25">
      <c r="A72" s="431" t="s">
        <v>450</v>
      </c>
      <c r="B72" s="373"/>
      <c r="C72" s="432">
        <f>ROUND(C69*C71/1000,1)</f>
        <v>3601979.5</v>
      </c>
      <c r="D72" s="608">
        <f>ROUND(D69*D71/1000,1)</f>
        <v>3582094.5</v>
      </c>
      <c r="E72" s="608">
        <f>ROUND(E69*E71/1000,1)</f>
        <v>3561511.7</v>
      </c>
      <c r="F72" s="609">
        <f>ROUND(F69*F71/1000,1)</f>
        <v>3540580.1</v>
      </c>
    </row>
    <row r="73" spans="1:6" x14ac:dyDescent="0.25">
      <c r="A73" s="431" t="s">
        <v>451</v>
      </c>
      <c r="B73" s="373"/>
      <c r="C73" s="432" t="e">
        <f>ROUND((C72-C68-50510200/1000-9005190/1000),1)</f>
        <v>#REF!</v>
      </c>
      <c r="D73" s="608">
        <f>ROUND((D72-D68-D97/1000-(D102+D103)/1000),1)</f>
        <v>2508377</v>
      </c>
      <c r="E73" s="608">
        <f>ROUND((E72-E68-E97/1000-(E102+E103)/1000),1)</f>
        <v>2487384.9</v>
      </c>
      <c r="F73" s="608">
        <f>ROUND((F72-F68-F97/1000-(F102+F103)/1000),1)</f>
        <v>2466971.5</v>
      </c>
    </row>
    <row r="74" spans="1:6" x14ac:dyDescent="0.25">
      <c r="A74" s="431" t="s">
        <v>452</v>
      </c>
      <c r="B74" s="373"/>
      <c r="C74" s="432" t="e">
        <f>ROUND(C73/C72*100,1)</f>
        <v>#REF!</v>
      </c>
      <c r="D74" s="608">
        <f>ROUND(D73/D72*100,1)</f>
        <v>70</v>
      </c>
      <c r="E74" s="608">
        <f>ROUND(E73/E72*100,1)</f>
        <v>69.8</v>
      </c>
      <c r="F74" s="609">
        <f>ROUND(F73/F72*100,1)</f>
        <v>69.7</v>
      </c>
    </row>
    <row r="75" spans="1:6" x14ac:dyDescent="0.25">
      <c r="A75" s="431" t="s">
        <v>467</v>
      </c>
      <c r="B75" s="373"/>
      <c r="C75" s="432" t="e">
        <f>ROUND(C68/1000,1)</f>
        <v>#REF!</v>
      </c>
      <c r="D75" s="608">
        <f>ROUND(D68/1000,1)</f>
        <v>1065.5999999999999</v>
      </c>
      <c r="E75" s="608">
        <f>ROUND(E68/1000,1)</f>
        <v>1066</v>
      </c>
      <c r="F75" s="609">
        <f>ROUND(F68/1000,1)</f>
        <v>1065.5</v>
      </c>
    </row>
    <row r="76" spans="1:6" x14ac:dyDescent="0.25">
      <c r="A76" s="431" t="s">
        <v>468</v>
      </c>
      <c r="B76" s="373"/>
      <c r="C76" s="432" t="e">
        <f>C70</f>
        <v>#REF!</v>
      </c>
      <c r="D76" s="608">
        <f>D70</f>
        <v>1037.8</v>
      </c>
      <c r="E76" s="608">
        <f>E70</f>
        <v>1044.2</v>
      </c>
      <c r="F76" s="609">
        <f>F70</f>
        <v>1049.9000000000001</v>
      </c>
    </row>
    <row r="77" spans="1:6" x14ac:dyDescent="0.25">
      <c r="A77" s="431" t="s">
        <v>466</v>
      </c>
      <c r="B77" s="373"/>
      <c r="C77" s="432">
        <f>ROUND((C72-C97/1000-C102/1000-C103/1000)/1000,1)</f>
        <v>3542.5</v>
      </c>
      <c r="D77" s="608">
        <f>ROUND((D72-D97/1000-D102/1000-D103/1000)/1000,1)</f>
        <v>3574</v>
      </c>
      <c r="E77" s="608">
        <f>ROUND((E72-E97/1000-E102/1000-E103/1000)/1000,1)</f>
        <v>3553.4</v>
      </c>
      <c r="F77" s="609">
        <f>ROUND((F72-F97/1000-F102/1000-F103/1000)/1000,1)</f>
        <v>3532.5</v>
      </c>
    </row>
    <row r="78" spans="1:6" ht="15.75" thickBot="1" x14ac:dyDescent="0.3">
      <c r="A78" s="384" t="s">
        <v>469</v>
      </c>
      <c r="B78" s="385"/>
      <c r="C78" s="386">
        <f>ROUND((C71*C69-C97-C102-C103)/C69,1)</f>
        <v>3431</v>
      </c>
      <c r="D78" s="593">
        <f>ROUND((D71*D69-D97-D102-D103)/D69,1)</f>
        <v>3480.7</v>
      </c>
      <c r="E78" s="593">
        <f>ROUND((E71*E69-E97-E102-E103)/E69,1)</f>
        <v>3480.7</v>
      </c>
      <c r="F78" s="594">
        <f>ROUND((F71*F69-F97-F102-F103)/F69,1)</f>
        <v>3480.6</v>
      </c>
    </row>
    <row r="79" spans="1:6" x14ac:dyDescent="0.25">
      <c r="A79" s="437"/>
      <c r="B79" s="438"/>
      <c r="C79" s="436"/>
      <c r="D79" s="605"/>
      <c r="E79" s="605"/>
      <c r="F79" s="605"/>
    </row>
    <row r="80" spans="1:6" ht="15.75" thickBot="1" x14ac:dyDescent="0.3">
      <c r="A80" s="428"/>
      <c r="B80" s="429"/>
      <c r="C80" s="430"/>
      <c r="D80" s="610"/>
      <c r="E80" s="610"/>
      <c r="F80" s="610"/>
    </row>
    <row r="81" spans="1:6" ht="15.75" thickBot="1" x14ac:dyDescent="0.3">
      <c r="A81" s="1082" t="s">
        <v>453</v>
      </c>
      <c r="B81" s="1083"/>
      <c r="C81" s="1083"/>
      <c r="D81" s="1083"/>
      <c r="E81" s="1083"/>
      <c r="F81" s="1084"/>
    </row>
    <row r="82" spans="1:6" ht="45" x14ac:dyDescent="0.25">
      <c r="A82" s="397" t="str">
        <f>'таблица (всего)'!C176</f>
        <v xml:space="preserve">Подготовка населения и организаций к действиям в чрезвычайной ситуации в мирное и военное время
</v>
      </c>
      <c r="B82" s="390"/>
      <c r="C82" s="392">
        <f>'таблица (всего)'!F176</f>
        <v>503965</v>
      </c>
      <c r="D82" s="614">
        <f>'таблица (всего)'!G176</f>
        <v>503965</v>
      </c>
      <c r="E82" s="614">
        <f>'таблица (всего)'!H176</f>
        <v>503965</v>
      </c>
      <c r="F82" s="580">
        <f>'таблица (всего)'!I176</f>
        <v>503965</v>
      </c>
    </row>
    <row r="83" spans="1:6" ht="75" x14ac:dyDescent="0.25">
      <c r="A83" s="387" t="s">
        <v>454</v>
      </c>
      <c r="B83" s="374"/>
      <c r="C83" s="383">
        <f>'таблица (всего)'!F151</f>
        <v>339302.5</v>
      </c>
      <c r="D83" s="581">
        <f>'таблица (всего)'!G151</f>
        <v>339302.5</v>
      </c>
      <c r="E83" s="581">
        <f>'таблица (всего)'!H151</f>
        <v>339302.5</v>
      </c>
      <c r="F83" s="582">
        <f>'таблица (всего)'!I151</f>
        <v>339302.5</v>
      </c>
    </row>
    <row r="84" spans="1:6" ht="60" x14ac:dyDescent="0.25">
      <c r="A84" s="387" t="str">
        <f>'таблица (всего)'!C152</f>
        <v xml:space="preserve">Реализация основных профессиональных образовательных программ среднего профессионального медицинского образования - программ подготовки специалистов среднего звена
</v>
      </c>
      <c r="B84" s="374"/>
      <c r="C84" s="383">
        <f>'таблица (всего)'!F152</f>
        <v>42667502.5</v>
      </c>
      <c r="D84" s="581">
        <f>'таблица (всего)'!G152</f>
        <v>40235155.979999997</v>
      </c>
      <c r="E84" s="581">
        <f>'таблица (всего)'!H152</f>
        <v>40235155.979999997</v>
      </c>
      <c r="F84" s="582">
        <f>'таблица (всего)'!I152</f>
        <v>40235144.469999999</v>
      </c>
    </row>
    <row r="85" spans="1:6" x14ac:dyDescent="0.25">
      <c r="A85" s="387" t="str">
        <f>'таблица (всего)'!C154</f>
        <v>Предоставление жилых помещений в общежитиях</v>
      </c>
      <c r="B85" s="374"/>
      <c r="C85" s="383">
        <f>'таблица (всего)'!F154</f>
        <v>4932279</v>
      </c>
      <c r="D85" s="581">
        <f>'таблица (всего)'!G154</f>
        <v>3400443.76</v>
      </c>
      <c r="E85" s="581">
        <f>'таблица (всего)'!H154</f>
        <v>3400443.76</v>
      </c>
      <c r="F85" s="582">
        <f>'таблица (всего)'!I154</f>
        <v>3400444</v>
      </c>
    </row>
    <row r="86" spans="1:6" ht="45" x14ac:dyDescent="0.25">
      <c r="A86" s="387" t="str">
        <f>'таблица (всего)'!C153</f>
        <v xml:space="preserve">Предоставление стипендии студентам, обучающимся в областных государственных профессиональных образовательных организациях
</v>
      </c>
      <c r="B86" s="374"/>
      <c r="C86" s="383">
        <f>'таблица (всего)'!F153</f>
        <v>7172796</v>
      </c>
      <c r="D86" s="581">
        <f>'таблица (всего)'!G153</f>
        <v>8050644</v>
      </c>
      <c r="E86" s="581">
        <f>'таблица (всего)'!H153</f>
        <v>8050644</v>
      </c>
      <c r="F86" s="582">
        <f>'таблица (всего)'!I153</f>
        <v>8050644</v>
      </c>
    </row>
    <row r="87" spans="1:6" ht="60" x14ac:dyDescent="0.25">
      <c r="A87" s="387" t="str">
        <f>'таблица (всего)'!C159</f>
        <v xml:space="preserve">Реализация дополнительных профессиональных образовательных программ повышения квалификации и переподготовки кадров медицинских работников областных государственных учреждений здравоохранения
</v>
      </c>
      <c r="B87" s="374"/>
      <c r="C87" s="383">
        <f>'таблица (всего)'!F159</f>
        <v>8390920.6099999994</v>
      </c>
      <c r="D87" s="581">
        <f>'таблица (всего)'!G159</f>
        <v>6722720.1200000001</v>
      </c>
      <c r="E87" s="581">
        <f>'таблица (всего)'!H159</f>
        <v>6722720.1200000001</v>
      </c>
      <c r="F87" s="582">
        <f>'таблица (всего)'!I159</f>
        <v>6723229.7999999998</v>
      </c>
    </row>
    <row r="88" spans="1:6" ht="75" x14ac:dyDescent="0.25">
      <c r="A88" s="387" t="str">
        <f>'таблица (всего)'!C162</f>
        <v xml:space="preserve">Выплата единовременного денежного пособия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
</v>
      </c>
      <c r="B88" s="374"/>
      <c r="C88" s="383">
        <f>'таблица (всего)'!F162</f>
        <v>4000</v>
      </c>
      <c r="D88" s="581">
        <f>'таблица (всего)'!G162</f>
        <v>7500</v>
      </c>
      <c r="E88" s="581">
        <f>'таблица (всего)'!H162</f>
        <v>4500</v>
      </c>
      <c r="F88" s="582">
        <f>'таблица (всего)'!I162</f>
        <v>11000</v>
      </c>
    </row>
    <row r="89" spans="1:6" ht="75" x14ac:dyDescent="0.25">
      <c r="A89" s="387" t="str">
        <f>'таблица (всего)'!C163</f>
        <v xml:space="preserve">Выплата денежной компенсации выпускникам областных государственных профессиональных образовательных организаций - детям-сиротам и детям, оставшимся без попечения родителей, лицам из числа детей-сирот и детей, оставшихся без попечения родителей, для приобретения одежды, обуви, мягкого инвентаря и оборудования
</v>
      </c>
      <c r="B89" s="374"/>
      <c r="C89" s="383">
        <f>'таблица (всего)'!F163</f>
        <v>344848</v>
      </c>
      <c r="D89" s="581">
        <f>'таблица (всего)'!G163</f>
        <v>646590</v>
      </c>
      <c r="E89" s="581">
        <f>'таблица (всего)'!H163</f>
        <v>387954</v>
      </c>
      <c r="F89" s="582">
        <f>'таблица (всего)'!I163</f>
        <v>948332</v>
      </c>
    </row>
    <row r="90" spans="1:6" ht="75" x14ac:dyDescent="0.25">
      <c r="A90" s="387" t="str">
        <f>'таблица (всего)'!C164</f>
        <v>Предоставление полного государственного обеспечения и дополнительных гарантий по социальной поддержке детей-сирот и детей, оставшихся без попечения родителей, и лиц из числа детей-сирот и детей, оставшихся без попечения родителей, обучающихся по программам среднего профессионального образования и профессиональной подготовки в областных государственных профессиональных образовательных организациях</v>
      </c>
      <c r="B90" s="374"/>
      <c r="C90" s="383">
        <f>'таблица (всего)'!F164</f>
        <v>3395073</v>
      </c>
      <c r="D90" s="581">
        <f>'таблица (всего)'!G164</f>
        <v>3395073</v>
      </c>
      <c r="E90" s="581">
        <f>'таблица (всего)'!H164</f>
        <v>3395073</v>
      </c>
      <c r="F90" s="582">
        <f>'таблица (всего)'!I164</f>
        <v>3395073</v>
      </c>
    </row>
    <row r="91" spans="1:6" x14ac:dyDescent="0.25">
      <c r="A91" s="382" t="str">
        <f>'таблица (всего)'!C15</f>
        <v>Капитальный ремонт областных учреждений здравоохранения</v>
      </c>
      <c r="B91" s="374"/>
      <c r="C91" s="383">
        <f>'таблица (всего)'!F15</f>
        <v>15481400</v>
      </c>
      <c r="D91" s="581">
        <f>'таблица (всего)'!G15</f>
        <v>0</v>
      </c>
      <c r="E91" s="581">
        <f>'таблица (всего)'!H15</f>
        <v>0</v>
      </c>
      <c r="F91" s="582">
        <f>'таблица (всего)'!I15</f>
        <v>0</v>
      </c>
    </row>
    <row r="92" spans="1:6" x14ac:dyDescent="0.25">
      <c r="A92" s="382" t="str">
        <f>'таблица (всего)'!C16</f>
        <v>Приобретение оборудования областными учреждениями здравоохранения</v>
      </c>
      <c r="B92" s="374"/>
      <c r="C92" s="376" t="e">
        <f>43411400-#REF!</f>
        <v>#REF!</v>
      </c>
      <c r="D92" s="581">
        <v>0</v>
      </c>
      <c r="E92" s="581">
        <v>0</v>
      </c>
      <c r="F92" s="599">
        <v>0</v>
      </c>
    </row>
    <row r="93" spans="1:6" ht="35.25" customHeight="1" x14ac:dyDescent="0.25">
      <c r="A93" s="382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B93" s="374"/>
      <c r="C93" s="383">
        <f>'таблица (всего)'!F58</f>
        <v>13843200</v>
      </c>
      <c r="D93" s="581">
        <f>'таблица (всего)'!G58</f>
        <v>0</v>
      </c>
      <c r="E93" s="581">
        <f>'таблица (всего)'!H58</f>
        <v>0</v>
      </c>
      <c r="F93" s="582">
        <f>'таблица (всего)'!I58</f>
        <v>0</v>
      </c>
    </row>
    <row r="94" spans="1:6" ht="34.5" customHeight="1" x14ac:dyDescent="0.25">
      <c r="A94" s="388" t="str">
        <f>'таблица (всего)'!C66</f>
        <v>Реализация мероприятий по обеспечению лекарственными препаратами, диагностическими средствами при оказании специализированной, включая высокотехнологичную, медицинской помощи по прочим заболеваниям, а также мероприятий по профилактике этих заболеваний</v>
      </c>
      <c r="B94" s="374"/>
      <c r="C94" s="383"/>
      <c r="D94" s="581">
        <f>'таблица (всего)'!G66</f>
        <v>24389600</v>
      </c>
      <c r="E94" s="581">
        <f>'таблица (всего)'!H66</f>
        <v>22897100</v>
      </c>
      <c r="F94" s="581">
        <f>'таблица (всего)'!I66</f>
        <v>22399200</v>
      </c>
    </row>
    <row r="95" spans="1:6" ht="90" x14ac:dyDescent="0.25">
      <c r="A95" s="382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B95" s="374"/>
      <c r="C95" s="383">
        <f>'таблица (всего)'!F54</f>
        <v>9763500</v>
      </c>
      <c r="D95" s="581">
        <f>'таблица (всего)'!G54</f>
        <v>0</v>
      </c>
      <c r="E95" s="581">
        <f>'таблица (всего)'!H54</f>
        <v>0</v>
      </c>
      <c r="F95" s="582">
        <f>'таблица (всего)'!I54</f>
        <v>0</v>
      </c>
    </row>
    <row r="96" spans="1:6" ht="45" x14ac:dyDescent="0.25">
      <c r="A96" s="382" t="str">
        <f>'таблица (всего)'!C115</f>
        <v>Выплаты однократного выходного пособия при увольнении в связи с выходом на пенсию медицинским и иным работникам, непосредственно участвующим в оказании противотуберкулезной помощи</v>
      </c>
      <c r="B96" s="374"/>
      <c r="C96" s="383">
        <f>'таблица (всего)'!F115</f>
        <v>60000</v>
      </c>
      <c r="D96" s="581">
        <f>'таблица (всего)'!G115</f>
        <v>60000</v>
      </c>
      <c r="E96" s="581">
        <f>'таблица (всего)'!H115</f>
        <v>60000</v>
      </c>
      <c r="F96" s="582">
        <f>'таблица (всего)'!I115</f>
        <v>60000</v>
      </c>
    </row>
    <row r="97" spans="1:6" ht="45" x14ac:dyDescent="0.25">
      <c r="A97" s="382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B97" s="374"/>
      <c r="C97" s="383">
        <f>'таблица (всего)'!F72</f>
        <v>50510200</v>
      </c>
      <c r="D97" s="581">
        <f>'таблица (всего)'!G72</f>
        <v>0</v>
      </c>
      <c r="E97" s="581">
        <f>'таблица (всего)'!H72</f>
        <v>0</v>
      </c>
      <c r="F97" s="582">
        <f>'таблица (всего)'!I72</f>
        <v>0</v>
      </c>
    </row>
    <row r="98" spans="1:6" ht="30" x14ac:dyDescent="0.25">
      <c r="A98" s="382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B98" s="374"/>
      <c r="C98" s="383">
        <f>'таблица (всего)'!F63</f>
        <v>178083300</v>
      </c>
      <c r="D98" s="581">
        <f>'таблица (всего)'!G63</f>
        <v>0</v>
      </c>
      <c r="E98" s="581">
        <f>'таблица (всего)'!H63</f>
        <v>0</v>
      </c>
      <c r="F98" s="582">
        <f>'таблица (всего)'!I63</f>
        <v>0</v>
      </c>
    </row>
    <row r="99" spans="1:6" x14ac:dyDescent="0.25">
      <c r="A99" s="382" t="str">
        <f>'таблица (всего)'!C64</f>
        <v>Реализация мероприятий по профилактике ВИЧ-инфекции и гепатитов B и C</v>
      </c>
      <c r="B99" s="374"/>
      <c r="C99" s="383">
        <f>'таблица (всего)'!F64</f>
        <v>2519100</v>
      </c>
      <c r="D99" s="581">
        <f>'таблица (всего)'!G64</f>
        <v>0</v>
      </c>
      <c r="E99" s="581">
        <f>'таблица (всего)'!H64</f>
        <v>0</v>
      </c>
      <c r="F99" s="582">
        <f>'таблица (всего)'!I64</f>
        <v>0</v>
      </c>
    </row>
    <row r="100" spans="1:6" ht="45" x14ac:dyDescent="0.25">
      <c r="A100" s="387" t="str">
        <f>'таблица (всего)'!C169</f>
        <v xml:space="preserve">Формирование доступной среды жизнедеятельности для инвалидов и других маломобильных групп населения в Ивановской области
</v>
      </c>
      <c r="B100" s="374"/>
      <c r="C100" s="383">
        <f>'таблица (всего)'!F169</f>
        <v>1500000</v>
      </c>
      <c r="D100" s="581">
        <f>'таблица (всего)'!G169</f>
        <v>0</v>
      </c>
      <c r="E100" s="581">
        <f>'таблица (всего)'!H169</f>
        <v>0</v>
      </c>
      <c r="F100" s="582">
        <f>'таблица (всего)'!I169</f>
        <v>0</v>
      </c>
    </row>
    <row r="101" spans="1:6" x14ac:dyDescent="0.25">
      <c r="A101" s="387" t="str">
        <f>'таблица (всего)'!C188</f>
        <v>Наказы избирателей</v>
      </c>
      <c r="B101" s="374"/>
      <c r="C101" s="376" t="e">
        <f>16300000-#REF!</f>
        <v>#REF!</v>
      </c>
      <c r="D101" s="581">
        <v>0</v>
      </c>
      <c r="E101" s="581">
        <v>0</v>
      </c>
      <c r="F101" s="599">
        <v>0</v>
      </c>
    </row>
    <row r="102" spans="1:6" ht="60" x14ac:dyDescent="0.25">
      <c r="A102" s="382" t="str">
        <f>'таблица (всего)'!C135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мероприятий, направленных на проведение пренатальной (дородовой) диагностики нарушений развития ребенка у беременных женщин</v>
      </c>
      <c r="B102" s="374"/>
      <c r="C102" s="383">
        <f>'таблица (всего)'!F135</f>
        <v>6005190</v>
      </c>
      <c r="D102" s="581">
        <f>'таблица (всего)'!G135</f>
        <v>5404671</v>
      </c>
      <c r="E102" s="581">
        <f>'таблица (всего)'!H135</f>
        <v>5404671</v>
      </c>
      <c r="F102" s="582">
        <f>'таблица (всего)'!I135</f>
        <v>5404671</v>
      </c>
    </row>
    <row r="103" spans="1:6" ht="90" x14ac:dyDescent="0.25">
      <c r="A103" s="382" t="str">
        <f>'таблица (всего)'!C136</f>
        <v>Иной межбюджетный трансферт бюджету территориального фонда обязательного медицинского  страхования Ивановской области на финансовое обеспечение мероприятий, направленных на проведение неонатального скрининга на 5 наследственных и врожденных заболеваний в части исследований и консультаций, осуществляемых медико-генетическими центрами (консультациями), а также медико-генетических исследований в соответствующих структурных подразделениях медицинских организаций</v>
      </c>
      <c r="B103" s="374"/>
      <c r="C103" s="383">
        <f>'таблица (всего)'!F136</f>
        <v>3000000</v>
      </c>
      <c r="D103" s="581">
        <f>'таблица (всего)'!G136</f>
        <v>2700000</v>
      </c>
      <c r="E103" s="581">
        <f>'таблица (всего)'!H136</f>
        <v>2700000</v>
      </c>
      <c r="F103" s="582">
        <f>'таблица (всего)'!I136</f>
        <v>2700000</v>
      </c>
    </row>
    <row r="104" spans="1:6" ht="75" x14ac:dyDescent="0.25">
      <c r="A104" s="382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B104" s="374"/>
      <c r="C104" s="383">
        <f>'таблица (всего)'!F37</f>
        <v>179279900</v>
      </c>
      <c r="D104" s="581">
        <f>'таблица (всего)'!G37</f>
        <v>0</v>
      </c>
      <c r="E104" s="581">
        <f>'таблица (всего)'!H37</f>
        <v>0</v>
      </c>
      <c r="F104" s="582">
        <f>'таблица (всего)'!I37</f>
        <v>0</v>
      </c>
    </row>
    <row r="105" spans="1:6" x14ac:dyDescent="0.25">
      <c r="A105" s="382" t="str">
        <f>'таблица (всего)'!C36</f>
        <v>Реализация отдельных полномочий в области лекарственного обеспечения</v>
      </c>
      <c r="B105" s="374"/>
      <c r="C105" s="383">
        <f>'таблица (всего)'!F36</f>
        <v>75859900</v>
      </c>
      <c r="D105" s="581">
        <f>'таблица (всего)'!G36</f>
        <v>64709800</v>
      </c>
      <c r="E105" s="581">
        <f>'таблица (всего)'!H36</f>
        <v>61397500</v>
      </c>
      <c r="F105" s="582">
        <f>'таблица (всего)'!I36</f>
        <v>60062800</v>
      </c>
    </row>
    <row r="106" spans="1:6" ht="75" x14ac:dyDescent="0.25">
      <c r="A106" s="387" t="s">
        <v>43</v>
      </c>
      <c r="B106" s="374"/>
      <c r="C106" s="383">
        <f>'таблица (всего)'!F35</f>
        <v>5607800</v>
      </c>
      <c r="D106" s="581">
        <f>'таблица (всего)'!G35</f>
        <v>0</v>
      </c>
      <c r="E106" s="581">
        <f>'таблица (всего)'!H35</f>
        <v>0</v>
      </c>
      <c r="F106" s="582">
        <f>'таблица (всего)'!I35</f>
        <v>0</v>
      </c>
    </row>
    <row r="107" spans="1:6" ht="60" x14ac:dyDescent="0.25">
      <c r="A107" s="382" t="str">
        <f>'таблица (всего)'!C126</f>
        <v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«Об основах охраны здоровья граждан в Российской Федерации» полномочий Российской Федерации в сфере охраны здоровья</v>
      </c>
      <c r="B107" s="374"/>
      <c r="C107" s="383">
        <f>'таблица (всего)'!F126</f>
        <v>1875700</v>
      </c>
      <c r="D107" s="581">
        <f>'таблица (всего)'!G126</f>
        <v>1980700</v>
      </c>
      <c r="E107" s="581">
        <f>'таблица (всего)'!H126</f>
        <v>1980700</v>
      </c>
      <c r="F107" s="582">
        <f>'таблица (всего)'!I126</f>
        <v>1980700</v>
      </c>
    </row>
    <row r="108" spans="1:6" ht="45" x14ac:dyDescent="0.25">
      <c r="A108" s="382" t="str">
        <f>'таблица (всего)'!C120</f>
        <v>Иной межбюджетный трансферт бюджету Федерального фонда обязательного медицинского страхования на обязательное медицинское страхование неработающего населения</v>
      </c>
      <c r="B108" s="374"/>
      <c r="C108" s="383">
        <f>'таблица (всего)'!F120</f>
        <v>3894508000</v>
      </c>
      <c r="D108" s="581">
        <f>'таблица (всего)'!G120</f>
        <v>0</v>
      </c>
      <c r="E108" s="581">
        <f>'таблица (всего)'!H120</f>
        <v>0</v>
      </c>
      <c r="F108" s="582">
        <f>'таблица (всего)'!I120</f>
        <v>0</v>
      </c>
    </row>
    <row r="109" spans="1:6" ht="45" x14ac:dyDescent="0.25">
      <c r="A109" s="387" t="str">
        <f>'таблица (всего)'!C180</f>
        <v xml:space="preserve">Обеспечение функций центральных исполнительных органов государственной власти Ивановской области
</v>
      </c>
      <c r="B109" s="374"/>
      <c r="C109" s="383">
        <f>'таблица (всего)'!F180</f>
        <v>37377585.719999999</v>
      </c>
      <c r="D109" s="581">
        <f>'таблица (всего)'!G180</f>
        <v>34939085.729999997</v>
      </c>
      <c r="E109" s="581">
        <f>'таблица (всего)'!H180</f>
        <v>34939085.729999997</v>
      </c>
      <c r="F109" s="582">
        <f>'таблица (всего)'!I180</f>
        <v>34939085.729999997</v>
      </c>
    </row>
    <row r="110" spans="1:6" ht="75" x14ac:dyDescent="0.25">
      <c r="A110" s="435" t="str">
        <f>'таблица (всего)'!C142</f>
        <v>Единовременные компенсационные выплаты медицинским работникам в возрасте до 45 лет, имеющим высшее образование, прибывшим в 2015 году на работу в сельский населенный пункт либо рабочий поселок Ивановской области или переехавшим на работу в сельский населенный пунк либо рабочий поселок Ивановской области из другого населенного пункта</v>
      </c>
      <c r="B110" s="374"/>
      <c r="C110" s="383">
        <f>'таблица (всего)'!F142</f>
        <v>400000</v>
      </c>
      <c r="D110" s="581">
        <f>'таблица (всего)'!G142</f>
        <v>0</v>
      </c>
      <c r="E110" s="581">
        <f>'таблица (всего)'!H142</f>
        <v>0</v>
      </c>
      <c r="F110" s="582">
        <f>'таблица (всего)'!I142</f>
        <v>0</v>
      </c>
    </row>
    <row r="111" spans="1:6" ht="30" x14ac:dyDescent="0.25">
      <c r="A111" s="387" t="str">
        <f>'таблица (всего)'!C143</f>
        <v xml:space="preserve">Осуществление единовременных выплат медицинским работникам
</v>
      </c>
      <c r="B111" s="374"/>
      <c r="C111" s="383">
        <f>'таблица (всего)'!F143</f>
        <v>600000</v>
      </c>
      <c r="D111" s="581">
        <f>'таблица (всего)'!G143</f>
        <v>0</v>
      </c>
      <c r="E111" s="581">
        <f>'таблица (всего)'!H143</f>
        <v>0</v>
      </c>
      <c r="F111" s="582">
        <f>'таблица (всего)'!I143</f>
        <v>0</v>
      </c>
    </row>
    <row r="112" spans="1:6" ht="60" x14ac:dyDescent="0.25">
      <c r="A112" s="387" t="str">
        <f>'таблица (всего)'!C156</f>
        <v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v>
      </c>
      <c r="B112" s="374"/>
      <c r="C112" s="383">
        <f>'таблица (всего)'!F156</f>
        <v>80000</v>
      </c>
      <c r="D112" s="581">
        <f>'таблица (всего)'!G156</f>
        <v>0</v>
      </c>
      <c r="E112" s="581">
        <f>'таблица (всего)'!H156</f>
        <v>0</v>
      </c>
      <c r="F112" s="582">
        <f>'таблица (всего)'!I156</f>
        <v>0</v>
      </c>
    </row>
    <row r="113" spans="1:6" ht="31.5" customHeight="1" x14ac:dyDescent="0.25">
      <c r="A113" s="382" t="str">
        <f>'таблица (всего)'!C195</f>
        <v>Единовременные компенсационные выплаты медицинским работникам в рамках исполнения судебных решений</v>
      </c>
      <c r="B113" s="374"/>
      <c r="C113" s="383">
        <f>'таблица (всего)'!F195</f>
        <v>500000</v>
      </c>
      <c r="D113" s="581">
        <f>'таблица (всего)'!G195</f>
        <v>0</v>
      </c>
      <c r="E113" s="581">
        <f>'таблица (всего)'!H195</f>
        <v>0</v>
      </c>
      <c r="F113" s="582">
        <f>'таблица (всего)'!I195</f>
        <v>0</v>
      </c>
    </row>
    <row r="114" spans="1:6" x14ac:dyDescent="0.25">
      <c r="A114" s="387" t="s">
        <v>481</v>
      </c>
      <c r="B114" s="374"/>
      <c r="C114" s="383" t="e">
        <f>C82+C83+C84+C85+C86+C87+C88+C89+C90+C91+C92+C93+C95+C96+C97+C98+C99+C100+C101+C102+C103+C104+C105+C106+C107+C108+C109+C110+C111+C112+C113</f>
        <v>#REF!</v>
      </c>
      <c r="D114" s="581">
        <f>D82+D83+D84+D85+D86+D87+D88+D89+D90+D91+D92+D93+D94+D95+D96+D97+D98+D99+D100+D101+D102+D103+D104+D105+D106+D107+D108+D109+D110+D111+D112+D113</f>
        <v>197485251.08999997</v>
      </c>
      <c r="E114" s="581">
        <f>E82+E83+E84+E85+E86+E87+E88+E89+E90+E91+E92+E93+E94+E95+E96+E97+E98+E99+E100+E101+E102+E103+E104+E105+E106+E107+E108+E109+E110+E111+E112+E113</f>
        <v>192418815.08999997</v>
      </c>
      <c r="F114" s="581">
        <f>F82+F83+F84+F85+F86+F87+F88+F89+F90+F91+F92+F93+F94+F95+F96+F97+F98+F99+F100+F101+F102+F103+F104+F105+F106+F107+F108+F109+F110+F111+F112+F113</f>
        <v>191153591.49999997</v>
      </c>
    </row>
    <row r="115" spans="1:6" ht="15.75" thickBot="1" x14ac:dyDescent="0.3">
      <c r="A115" s="424" t="s">
        <v>455</v>
      </c>
      <c r="B115" s="425"/>
      <c r="C115" s="427" t="e">
        <f>C66</f>
        <v>#REF!</v>
      </c>
      <c r="D115" s="600">
        <f>D66</f>
        <v>1065612825.4599999</v>
      </c>
      <c r="E115" s="600">
        <f>E66</f>
        <v>1066022071.3499999</v>
      </c>
      <c r="F115" s="613">
        <f>F66</f>
        <v>1065503937.8</v>
      </c>
    </row>
    <row r="116" spans="1:6" ht="15.75" thickBot="1" x14ac:dyDescent="0.3">
      <c r="A116" s="422" t="s">
        <v>456</v>
      </c>
      <c r="B116" s="434"/>
      <c r="C116" s="423" t="e">
        <f>C114+#REF!+C115</f>
        <v>#REF!</v>
      </c>
      <c r="D116" s="615">
        <f>D114+D115</f>
        <v>1263098076.55</v>
      </c>
      <c r="E116" s="615">
        <f>E114+E115</f>
        <v>1258440886.4399998</v>
      </c>
      <c r="F116" s="615">
        <f>F114+F115</f>
        <v>1256657529.3</v>
      </c>
    </row>
    <row r="117" spans="1:6" x14ac:dyDescent="0.25">
      <c r="C117" s="433">
        <f>'таблица (всего)'!F200</f>
        <v>5725077941.8100004</v>
      </c>
      <c r="D117" s="611">
        <f>'таблица (всего)'!G200</f>
        <v>5209905934.789999</v>
      </c>
      <c r="E117" s="611">
        <f>'таблица (всего)'!H200</f>
        <v>5205101134.789999</v>
      </c>
      <c r="F117" s="611">
        <f>'таблица (всего)'!I200</f>
        <v>5203268534.79</v>
      </c>
    </row>
    <row r="118" spans="1:6" x14ac:dyDescent="0.25">
      <c r="C118" s="433" t="e">
        <f>C116-C117</f>
        <v>#REF!</v>
      </c>
      <c r="D118" s="611">
        <f>D116-D117</f>
        <v>-3946807858.2399988</v>
      </c>
      <c r="E118" s="611">
        <f>E116-E117</f>
        <v>-3946660248.3499994</v>
      </c>
      <c r="F118" s="611">
        <f>F116-F117</f>
        <v>-3946611005.4899998</v>
      </c>
    </row>
  </sheetData>
  <mergeCells count="1">
    <mergeCell ref="A81:F8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zoomScale="90" zoomScaleNormal="90" workbookViewId="0">
      <selection activeCell="H11" sqref="H11"/>
    </sheetView>
  </sheetViews>
  <sheetFormatPr defaultRowHeight="15" x14ac:dyDescent="0.25"/>
  <cols>
    <col min="1" max="1" width="4.7109375" style="76" customWidth="1"/>
    <col min="2" max="2" width="40.42578125" style="232" customWidth="1"/>
    <col min="3" max="3" width="16.140625" style="76" customWidth="1"/>
    <col min="4" max="5" width="16" style="76" hidden="1" customWidth="1"/>
    <col min="6" max="8" width="16" style="77" customWidth="1"/>
    <col min="9" max="10" width="16" customWidth="1"/>
  </cols>
  <sheetData>
    <row r="1" spans="1:17" ht="84.75" customHeight="1" x14ac:dyDescent="0.25">
      <c r="I1" s="1086" t="s">
        <v>169</v>
      </c>
      <c r="J1" s="1086"/>
    </row>
    <row r="2" spans="1:17" ht="18.75" customHeight="1" x14ac:dyDescent="0.25">
      <c r="A2" s="1087" t="s">
        <v>170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3">
      <c r="A3" s="1088" t="s">
        <v>171</v>
      </c>
      <c r="B3" s="1088"/>
      <c r="C3" s="1088"/>
      <c r="D3" s="1088"/>
      <c r="E3" s="1088"/>
      <c r="F3" s="1088"/>
      <c r="G3" s="1088"/>
      <c r="H3" s="1088"/>
      <c r="I3" s="1088"/>
      <c r="J3" s="1088"/>
    </row>
    <row r="4" spans="1:17" ht="18.75" x14ac:dyDescent="0.3">
      <c r="A4" s="78"/>
      <c r="B4" s="233"/>
      <c r="C4" s="78"/>
      <c r="D4" s="156"/>
      <c r="E4" s="156"/>
      <c r="F4" s="78"/>
      <c r="G4" s="78"/>
      <c r="J4" s="79" t="s">
        <v>172</v>
      </c>
    </row>
    <row r="5" spans="1:17" ht="25.5" x14ac:dyDescent="0.25">
      <c r="A5" s="223" t="s">
        <v>245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477677444</v>
      </c>
      <c r="E6" s="227">
        <f t="shared" ref="E6:J6" si="0">E7</f>
        <v>69009464.170000002</v>
      </c>
      <c r="F6" s="313">
        <f t="shared" si="0"/>
        <v>55592475.07</v>
      </c>
      <c r="G6" s="313">
        <f t="shared" si="0"/>
        <v>0</v>
      </c>
      <c r="H6" s="313">
        <f t="shared" si="0"/>
        <v>0</v>
      </c>
      <c r="I6" s="313">
        <f t="shared" si="0"/>
        <v>0</v>
      </c>
      <c r="J6" s="313">
        <f t="shared" si="0"/>
        <v>0</v>
      </c>
      <c r="K6" s="222">
        <f>D6-'таблица (всего)'!D13</f>
        <v>0</v>
      </c>
      <c r="L6" s="222">
        <f>E6-'таблица (всего)'!E13</f>
        <v>0</v>
      </c>
      <c r="M6" s="222">
        <f>F6-'таблица (всего)'!F13</f>
        <v>0</v>
      </c>
      <c r="N6" s="222">
        <f>G6-'таблица (всего)'!G13</f>
        <v>0</v>
      </c>
      <c r="O6" s="222">
        <f>H6-'таблица (всего)'!H13</f>
        <v>0</v>
      </c>
      <c r="P6" s="222">
        <f>I6-'таблица (всего)'!I13</f>
        <v>0</v>
      </c>
      <c r="Q6" s="222">
        <f>J6-'таблица (всего)'!J13</f>
        <v>0</v>
      </c>
    </row>
    <row r="7" spans="1:17" x14ac:dyDescent="0.25">
      <c r="A7" s="225"/>
      <c r="B7" s="226" t="s">
        <v>176</v>
      </c>
      <c r="C7" s="1085"/>
      <c r="D7" s="227">
        <f>D8+D9</f>
        <v>477677444</v>
      </c>
      <c r="E7" s="227">
        <f t="shared" ref="E7:J7" si="1">E8+E9</f>
        <v>69009464.170000002</v>
      </c>
      <c r="F7" s="313">
        <f t="shared" si="1"/>
        <v>55592475.07</v>
      </c>
      <c r="G7" s="313">
        <f t="shared" si="1"/>
        <v>0</v>
      </c>
      <c r="H7" s="313">
        <f t="shared" si="1"/>
        <v>0</v>
      </c>
      <c r="I7" s="313">
        <f t="shared" si="1"/>
        <v>0</v>
      </c>
      <c r="J7" s="313">
        <f t="shared" si="1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85"/>
      <c r="D8" s="227">
        <f>D12</f>
        <v>145814044</v>
      </c>
      <c r="E8" s="227">
        <f t="shared" ref="E8:J8" si="2">E12</f>
        <v>69009464.170000002</v>
      </c>
      <c r="F8" s="313">
        <f t="shared" si="2"/>
        <v>55592475.07</v>
      </c>
      <c r="G8" s="313">
        <f t="shared" si="2"/>
        <v>0</v>
      </c>
      <c r="H8" s="313">
        <f t="shared" si="2"/>
        <v>0</v>
      </c>
      <c r="I8" s="313">
        <f t="shared" si="2"/>
        <v>0</v>
      </c>
      <c r="J8" s="313">
        <f t="shared" si="2"/>
        <v>0</v>
      </c>
      <c r="K8" s="222">
        <f>D8-'таблица (всего)'!D12</f>
        <v>0</v>
      </c>
      <c r="L8" s="222">
        <f>E8-'таблица (всего)'!E12</f>
        <v>0</v>
      </c>
      <c r="M8" s="222">
        <f>F8-'таблица (всего)'!F12</f>
        <v>0</v>
      </c>
      <c r="N8" s="222">
        <f>G8-'таблица (всего)'!G12</f>
        <v>0</v>
      </c>
      <c r="O8" s="222">
        <f>H8-'таблица (всего)'!H12</f>
        <v>0</v>
      </c>
      <c r="P8" s="222">
        <f>I8-'таблица (всего)'!I12</f>
        <v>0</v>
      </c>
      <c r="Q8" s="222">
        <f>J8-'таблица (всего)'!J12</f>
        <v>0</v>
      </c>
    </row>
    <row r="9" spans="1:17" x14ac:dyDescent="0.25">
      <c r="A9" s="225"/>
      <c r="B9" s="226" t="s">
        <v>178</v>
      </c>
      <c r="C9" s="1085"/>
      <c r="D9" s="227">
        <f>D13</f>
        <v>331863400</v>
      </c>
      <c r="E9" s="227">
        <f t="shared" ref="E9:J9" si="3">E13</f>
        <v>0</v>
      </c>
      <c r="F9" s="313">
        <f t="shared" si="3"/>
        <v>0</v>
      </c>
      <c r="G9" s="313">
        <f t="shared" si="3"/>
        <v>0</v>
      </c>
      <c r="H9" s="313">
        <f t="shared" si="3"/>
        <v>0</v>
      </c>
      <c r="I9" s="313">
        <f t="shared" si="3"/>
        <v>0</v>
      </c>
      <c r="J9" s="313">
        <f t="shared" si="3"/>
        <v>0</v>
      </c>
      <c r="K9" s="222">
        <f>D9-'таблица (всего)'!D11</f>
        <v>0</v>
      </c>
      <c r="L9" s="222">
        <f>E9-'таблица (всего)'!E11</f>
        <v>0</v>
      </c>
      <c r="M9" s="222">
        <f>F9-'таблица (всего)'!F11</f>
        <v>0</v>
      </c>
      <c r="N9" s="222">
        <f>G9-'таблица (всего)'!G11</f>
        <v>0</v>
      </c>
      <c r="O9" s="222">
        <f>H9-'таблица (всего)'!H11</f>
        <v>0</v>
      </c>
      <c r="P9" s="222">
        <f>I9-'таблица (всего)'!I11</f>
        <v>0</v>
      </c>
      <c r="Q9" s="222">
        <f>J9-'таблица (всего)'!J11</f>
        <v>0</v>
      </c>
    </row>
    <row r="10" spans="1:17" ht="51" x14ac:dyDescent="0.25">
      <c r="A10" s="225" t="s">
        <v>228</v>
      </c>
      <c r="B10" s="229" t="str">
        <f>'таблица (всего)'!C13</f>
        <v>«Укрепление материально-технической базы областных учреждений здравоохранения»</v>
      </c>
      <c r="C10" s="225" t="s">
        <v>180</v>
      </c>
      <c r="D10" s="227">
        <f>D11</f>
        <v>477677444</v>
      </c>
      <c r="E10" s="227">
        <f t="shared" ref="E10:J10" si="4">E11</f>
        <v>69009464.170000002</v>
      </c>
      <c r="F10" s="313">
        <f t="shared" si="4"/>
        <v>55592475.07</v>
      </c>
      <c r="G10" s="313">
        <f t="shared" si="4"/>
        <v>0</v>
      </c>
      <c r="H10" s="313">
        <f t="shared" si="4"/>
        <v>0</v>
      </c>
      <c r="I10" s="313">
        <f t="shared" si="4"/>
        <v>0</v>
      </c>
      <c r="J10" s="313">
        <f t="shared" si="4"/>
        <v>0</v>
      </c>
    </row>
    <row r="11" spans="1:17" x14ac:dyDescent="0.25">
      <c r="A11" s="225"/>
      <c r="B11" s="226" t="s">
        <v>176</v>
      </c>
      <c r="C11" s="1085"/>
      <c r="D11" s="227">
        <f>D12+D13</f>
        <v>477677444</v>
      </c>
      <c r="E11" s="227">
        <f t="shared" ref="E11:J11" si="5">E12+E13</f>
        <v>69009464.170000002</v>
      </c>
      <c r="F11" s="313">
        <f t="shared" si="5"/>
        <v>55592475.07</v>
      </c>
      <c r="G11" s="313">
        <f t="shared" si="5"/>
        <v>0</v>
      </c>
      <c r="H11" s="313">
        <f t="shared" si="5"/>
        <v>0</v>
      </c>
      <c r="I11" s="313">
        <f t="shared" si="5"/>
        <v>0</v>
      </c>
      <c r="J11" s="313">
        <f t="shared" si="5"/>
        <v>0</v>
      </c>
    </row>
    <row r="12" spans="1:17" x14ac:dyDescent="0.25">
      <c r="A12" s="225"/>
      <c r="B12" s="226" t="s">
        <v>177</v>
      </c>
      <c r="C12" s="1085"/>
      <c r="D12" s="227">
        <f t="shared" ref="D12:J12" si="6">D20+D24+D28+D32+D36+D48+D52+D56</f>
        <v>145814044</v>
      </c>
      <c r="E12" s="227">
        <f t="shared" si="6"/>
        <v>69009464.170000002</v>
      </c>
      <c r="F12" s="313">
        <f t="shared" si="6"/>
        <v>55592475.07</v>
      </c>
      <c r="G12" s="313">
        <f t="shared" si="6"/>
        <v>0</v>
      </c>
      <c r="H12" s="313">
        <f t="shared" si="6"/>
        <v>0</v>
      </c>
      <c r="I12" s="313">
        <f t="shared" si="6"/>
        <v>0</v>
      </c>
      <c r="J12" s="313">
        <f t="shared" si="6"/>
        <v>0</v>
      </c>
    </row>
    <row r="13" spans="1:17" x14ac:dyDescent="0.25">
      <c r="A13" s="225"/>
      <c r="B13" s="226" t="s">
        <v>178</v>
      </c>
      <c r="C13" s="1085"/>
      <c r="D13" s="227">
        <f t="shared" ref="D13:J13" si="7">D41+D45</f>
        <v>331863400</v>
      </c>
      <c r="E13" s="227">
        <f t="shared" si="7"/>
        <v>0</v>
      </c>
      <c r="F13" s="313">
        <f t="shared" si="7"/>
        <v>0</v>
      </c>
      <c r="G13" s="313">
        <f t="shared" si="7"/>
        <v>0</v>
      </c>
      <c r="H13" s="313">
        <f t="shared" si="7"/>
        <v>0</v>
      </c>
      <c r="I13" s="313">
        <f t="shared" si="7"/>
        <v>0</v>
      </c>
      <c r="J13" s="313">
        <f t="shared" si="7"/>
        <v>0</v>
      </c>
    </row>
    <row r="14" spans="1:17" ht="51" hidden="1" x14ac:dyDescent="0.25">
      <c r="A14" s="230" t="s">
        <v>234</v>
      </c>
      <c r="B14" s="229" t="str">
        <f>'таблица (всего)'!C14</f>
        <v>Разработка проектно-сметной документации на капитальный ремонт областных учреждений здравоохранения</v>
      </c>
      <c r="C14" s="225" t="s">
        <v>180</v>
      </c>
      <c r="D14" s="228" t="s">
        <v>227</v>
      </c>
      <c r="E14" s="228" t="s">
        <v>227</v>
      </c>
      <c r="F14" s="313">
        <v>0</v>
      </c>
      <c r="G14" s="313">
        <v>0</v>
      </c>
      <c r="H14" s="313">
        <v>0</v>
      </c>
      <c r="I14" s="313">
        <v>0</v>
      </c>
      <c r="J14" s="313">
        <v>0</v>
      </c>
    </row>
    <row r="15" spans="1:17" hidden="1" x14ac:dyDescent="0.25">
      <c r="A15" s="225"/>
      <c r="B15" s="226" t="s">
        <v>176</v>
      </c>
      <c r="C15" s="1085"/>
      <c r="D15" s="228" t="s">
        <v>227</v>
      </c>
      <c r="E15" s="228" t="s">
        <v>227</v>
      </c>
      <c r="F15" s="313">
        <v>0</v>
      </c>
      <c r="G15" s="313">
        <v>0</v>
      </c>
      <c r="H15" s="313">
        <v>0</v>
      </c>
      <c r="I15" s="313">
        <v>0</v>
      </c>
      <c r="J15" s="313">
        <v>0</v>
      </c>
    </row>
    <row r="16" spans="1:17" hidden="1" x14ac:dyDescent="0.25">
      <c r="A16" s="225"/>
      <c r="B16" s="226" t="s">
        <v>177</v>
      </c>
      <c r="C16" s="1085"/>
      <c r="D16" s="228" t="s">
        <v>227</v>
      </c>
      <c r="E16" s="228" t="s">
        <v>227</v>
      </c>
      <c r="F16" s="313">
        <v>0</v>
      </c>
      <c r="G16" s="313">
        <v>0</v>
      </c>
      <c r="H16" s="313">
        <v>0</v>
      </c>
      <c r="I16" s="313">
        <v>0</v>
      </c>
      <c r="J16" s="313">
        <v>0</v>
      </c>
    </row>
    <row r="17" spans="1:10" hidden="1" x14ac:dyDescent="0.25">
      <c r="A17" s="225"/>
      <c r="B17" s="226" t="s">
        <v>178</v>
      </c>
      <c r="C17" s="1085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(всего)'!C15</f>
        <v>Капитальный ремонт областных учреждений здравоохранения</v>
      </c>
      <c r="C18" s="225" t="s">
        <v>180</v>
      </c>
      <c r="D18" s="227">
        <f>D19</f>
        <v>98092144</v>
      </c>
      <c r="E18" s="227">
        <f t="shared" ref="E18:J19" si="8">E19</f>
        <v>43073564.170000002</v>
      </c>
      <c r="F18" s="313">
        <f t="shared" si="8"/>
        <v>15481400</v>
      </c>
      <c r="G18" s="313">
        <f t="shared" si="8"/>
        <v>0</v>
      </c>
      <c r="H18" s="313">
        <f t="shared" si="8"/>
        <v>0</v>
      </c>
      <c r="I18" s="313">
        <f t="shared" si="8"/>
        <v>0</v>
      </c>
      <c r="J18" s="313">
        <f t="shared" si="8"/>
        <v>0</v>
      </c>
    </row>
    <row r="19" spans="1:10" x14ac:dyDescent="0.25">
      <c r="A19" s="225"/>
      <c r="B19" s="226" t="s">
        <v>176</v>
      </c>
      <c r="C19" s="1085"/>
      <c r="D19" s="227">
        <f>D20</f>
        <v>98092144</v>
      </c>
      <c r="E19" s="227">
        <f t="shared" si="8"/>
        <v>43073564.170000002</v>
      </c>
      <c r="F19" s="313">
        <f t="shared" si="8"/>
        <v>15481400</v>
      </c>
      <c r="G19" s="313">
        <f t="shared" si="8"/>
        <v>0</v>
      </c>
      <c r="H19" s="313">
        <f t="shared" si="8"/>
        <v>0</v>
      </c>
      <c r="I19" s="313">
        <f t="shared" si="8"/>
        <v>0</v>
      </c>
      <c r="J19" s="313">
        <f t="shared" si="8"/>
        <v>0</v>
      </c>
    </row>
    <row r="20" spans="1:10" x14ac:dyDescent="0.25">
      <c r="A20" s="225"/>
      <c r="B20" s="226" t="s">
        <v>177</v>
      </c>
      <c r="C20" s="1085"/>
      <c r="D20" s="227">
        <f>'таблица (всего)'!D15</f>
        <v>98092144</v>
      </c>
      <c r="E20" s="227">
        <f>'таблица (всего)'!E15</f>
        <v>43073564.170000002</v>
      </c>
      <c r="F20" s="313">
        <f>'таблица (всего)'!F15</f>
        <v>15481400</v>
      </c>
      <c r="G20" s="313">
        <f>'таблица (всего)'!G15</f>
        <v>0</v>
      </c>
      <c r="H20" s="313">
        <f>'таблица (всего)'!H15</f>
        <v>0</v>
      </c>
      <c r="I20" s="313">
        <f>'таблица (всего)'!I15</f>
        <v>0</v>
      </c>
      <c r="J20" s="313">
        <f>'таблица (всего)'!J15</f>
        <v>0</v>
      </c>
    </row>
    <row r="21" spans="1:10" x14ac:dyDescent="0.25">
      <c r="A21" s="225"/>
      <c r="B21" s="226" t="s">
        <v>178</v>
      </c>
      <c r="C21" s="1085"/>
      <c r="D21" s="228" t="s">
        <v>227</v>
      </c>
      <c r="E21" s="228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30" t="s">
        <v>246</v>
      </c>
      <c r="B22" s="229" t="str">
        <f>'таблица (всего)'!C16</f>
        <v>Приобретение оборудования областными учреждениями здравоохранения</v>
      </c>
      <c r="C22" s="225" t="s">
        <v>180</v>
      </c>
      <c r="D22" s="227">
        <f>D23</f>
        <v>23494200</v>
      </c>
      <c r="E22" s="227">
        <f t="shared" ref="E22:J23" si="9">E23</f>
        <v>21735900</v>
      </c>
      <c r="F22" s="313">
        <f t="shared" si="9"/>
        <v>40111075.07</v>
      </c>
      <c r="G22" s="313">
        <f t="shared" si="9"/>
        <v>0</v>
      </c>
      <c r="H22" s="313">
        <f t="shared" si="9"/>
        <v>0</v>
      </c>
      <c r="I22" s="313">
        <f t="shared" si="9"/>
        <v>0</v>
      </c>
      <c r="J22" s="313">
        <f t="shared" si="9"/>
        <v>0</v>
      </c>
    </row>
    <row r="23" spans="1:10" x14ac:dyDescent="0.25">
      <c r="A23" s="225"/>
      <c r="B23" s="226" t="s">
        <v>176</v>
      </c>
      <c r="C23" s="1085"/>
      <c r="D23" s="227">
        <f>D24</f>
        <v>23494200</v>
      </c>
      <c r="E23" s="227">
        <f t="shared" si="9"/>
        <v>21735900</v>
      </c>
      <c r="F23" s="313">
        <f t="shared" si="9"/>
        <v>40111075.07</v>
      </c>
      <c r="G23" s="313">
        <f t="shared" si="9"/>
        <v>0</v>
      </c>
      <c r="H23" s="313">
        <f t="shared" si="9"/>
        <v>0</v>
      </c>
      <c r="I23" s="313">
        <f t="shared" si="9"/>
        <v>0</v>
      </c>
      <c r="J23" s="313">
        <f t="shared" si="9"/>
        <v>0</v>
      </c>
    </row>
    <row r="24" spans="1:10" x14ac:dyDescent="0.25">
      <c r="A24" s="225"/>
      <c r="B24" s="226" t="s">
        <v>177</v>
      </c>
      <c r="C24" s="1085"/>
      <c r="D24" s="227">
        <f>'таблица (всего)'!D16</f>
        <v>23494200</v>
      </c>
      <c r="E24" s="227">
        <f>'таблица (всего)'!E16</f>
        <v>21735900</v>
      </c>
      <c r="F24" s="313">
        <f>'таблица (всего)'!F16</f>
        <v>40111075.07</v>
      </c>
      <c r="G24" s="313">
        <f>'таблица (всего)'!G16</f>
        <v>0</v>
      </c>
      <c r="H24" s="313">
        <f>'таблица (всего)'!H16</f>
        <v>0</v>
      </c>
      <c r="I24" s="313">
        <f>'таблица (всего)'!I16</f>
        <v>0</v>
      </c>
      <c r="J24" s="313">
        <f>'таблица (всего)'!J16</f>
        <v>0</v>
      </c>
    </row>
    <row r="25" spans="1:10" x14ac:dyDescent="0.25">
      <c r="A25" s="225"/>
      <c r="B25" s="226" t="s">
        <v>178</v>
      </c>
      <c r="C25" s="1085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hidden="1" x14ac:dyDescent="0.25">
      <c r="A26" s="230" t="s">
        <v>247</v>
      </c>
      <c r="B26" s="229" t="str">
        <f>'таблица (всего)'!C17</f>
        <v xml:space="preserve">Приобретение автомобилей скорой медицинской помощи </v>
      </c>
      <c r="C26" s="225" t="s">
        <v>180</v>
      </c>
      <c r="D26" s="227">
        <f>D27</f>
        <v>9940800</v>
      </c>
      <c r="E26" s="227">
        <f t="shared" ref="E26:J27" si="10">E27</f>
        <v>0</v>
      </c>
      <c r="F26" s="227">
        <f t="shared" si="10"/>
        <v>0</v>
      </c>
      <c r="G26" s="227">
        <f t="shared" si="10"/>
        <v>0</v>
      </c>
      <c r="H26" s="227">
        <f t="shared" si="10"/>
        <v>0</v>
      </c>
      <c r="I26" s="227">
        <f t="shared" si="10"/>
        <v>0</v>
      </c>
      <c r="J26" s="227">
        <f t="shared" si="10"/>
        <v>0</v>
      </c>
    </row>
    <row r="27" spans="1:10" hidden="1" x14ac:dyDescent="0.25">
      <c r="A27" s="225"/>
      <c r="B27" s="226" t="s">
        <v>176</v>
      </c>
      <c r="C27" s="1085"/>
      <c r="D27" s="227">
        <f>D28</f>
        <v>9940800</v>
      </c>
      <c r="E27" s="227">
        <f t="shared" si="10"/>
        <v>0</v>
      </c>
      <c r="F27" s="227">
        <f t="shared" si="10"/>
        <v>0</v>
      </c>
      <c r="G27" s="227">
        <f t="shared" si="10"/>
        <v>0</v>
      </c>
      <c r="H27" s="227">
        <f t="shared" si="10"/>
        <v>0</v>
      </c>
      <c r="I27" s="227">
        <f t="shared" si="10"/>
        <v>0</v>
      </c>
      <c r="J27" s="227">
        <f t="shared" si="10"/>
        <v>0</v>
      </c>
    </row>
    <row r="28" spans="1:10" hidden="1" x14ac:dyDescent="0.25">
      <c r="A28" s="225"/>
      <c r="B28" s="226" t="s">
        <v>177</v>
      </c>
      <c r="C28" s="1085"/>
      <c r="D28" s="227">
        <f>'таблица (всего)'!D17</f>
        <v>9940800</v>
      </c>
      <c r="E28" s="227">
        <f>'таблица (всего)'!E17</f>
        <v>0</v>
      </c>
      <c r="F28" s="227">
        <f>'таблица (всего)'!F17</f>
        <v>0</v>
      </c>
      <c r="G28" s="227">
        <f>'таблица (всего)'!G17</f>
        <v>0</v>
      </c>
      <c r="H28" s="227">
        <f>'таблица (всего)'!H17</f>
        <v>0</v>
      </c>
      <c r="I28" s="227">
        <f>'таблица (всего)'!I17</f>
        <v>0</v>
      </c>
      <c r="J28" s="227">
        <f>'таблица (всего)'!J17</f>
        <v>0</v>
      </c>
    </row>
    <row r="29" spans="1:10" hidden="1" x14ac:dyDescent="0.25">
      <c r="A29" s="225"/>
      <c r="B29" s="226" t="s">
        <v>178</v>
      </c>
      <c r="C29" s="1085"/>
      <c r="D29" s="228" t="s">
        <v>227</v>
      </c>
      <c r="E29" s="228" t="s">
        <v>227</v>
      </c>
      <c r="F29" s="228" t="s">
        <v>227</v>
      </c>
      <c r="G29" s="228" t="s">
        <v>227</v>
      </c>
      <c r="H29" s="228" t="s">
        <v>227</v>
      </c>
      <c r="I29" s="228" t="s">
        <v>227</v>
      </c>
      <c r="J29" s="228" t="s">
        <v>227</v>
      </c>
    </row>
    <row r="30" spans="1:10" ht="89.25" hidden="1" x14ac:dyDescent="0.25">
      <c r="A30" s="230" t="s">
        <v>248</v>
      </c>
      <c r="B30" s="229" t="str">
        <f>'таблица (всего)'!C18</f>
        <v xml:space="preserve">Приобретение производственного и хозяйственного инвентаря, включая медицинскую мебель, областными учреждениями здравоохранения, осуществляющими деятельность в сфере обязательного медицинского страхования
</v>
      </c>
      <c r="C30" s="225" t="s">
        <v>180</v>
      </c>
      <c r="D30" s="227">
        <f>D31</f>
        <v>112900</v>
      </c>
      <c r="E30" s="227">
        <f t="shared" ref="E30:J31" si="11">E31</f>
        <v>0</v>
      </c>
      <c r="F30" s="227">
        <f t="shared" si="11"/>
        <v>0</v>
      </c>
      <c r="G30" s="227">
        <f t="shared" si="11"/>
        <v>0</v>
      </c>
      <c r="H30" s="227">
        <f t="shared" si="11"/>
        <v>0</v>
      </c>
      <c r="I30" s="227">
        <f t="shared" si="11"/>
        <v>0</v>
      </c>
      <c r="J30" s="227">
        <f t="shared" si="11"/>
        <v>0</v>
      </c>
    </row>
    <row r="31" spans="1:10" hidden="1" x14ac:dyDescent="0.25">
      <c r="A31" s="225"/>
      <c r="B31" s="226" t="s">
        <v>176</v>
      </c>
      <c r="C31" s="1085"/>
      <c r="D31" s="227">
        <f>D32</f>
        <v>112900</v>
      </c>
      <c r="E31" s="227">
        <f t="shared" si="11"/>
        <v>0</v>
      </c>
      <c r="F31" s="227">
        <f t="shared" si="11"/>
        <v>0</v>
      </c>
      <c r="G31" s="227">
        <f t="shared" si="11"/>
        <v>0</v>
      </c>
      <c r="H31" s="227">
        <f t="shared" si="11"/>
        <v>0</v>
      </c>
      <c r="I31" s="227">
        <f t="shared" si="11"/>
        <v>0</v>
      </c>
      <c r="J31" s="227">
        <f t="shared" si="11"/>
        <v>0</v>
      </c>
    </row>
    <row r="32" spans="1:10" hidden="1" x14ac:dyDescent="0.25">
      <c r="A32" s="225"/>
      <c r="B32" s="226" t="s">
        <v>177</v>
      </c>
      <c r="C32" s="1085"/>
      <c r="D32" s="227">
        <f>'таблица (всего)'!D18</f>
        <v>112900</v>
      </c>
      <c r="E32" s="227">
        <f>'таблица (всего)'!E18</f>
        <v>0</v>
      </c>
      <c r="F32" s="227">
        <f>'таблица (всего)'!F18</f>
        <v>0</v>
      </c>
      <c r="G32" s="227">
        <f>'таблица (всего)'!G18</f>
        <v>0</v>
      </c>
      <c r="H32" s="227">
        <f>'таблица (всего)'!H18</f>
        <v>0</v>
      </c>
      <c r="I32" s="227">
        <f>'таблица (всего)'!I18</f>
        <v>0</v>
      </c>
      <c r="J32" s="227">
        <f>'таблица (всего)'!J18</f>
        <v>0</v>
      </c>
    </row>
    <row r="33" spans="1:10" hidden="1" x14ac:dyDescent="0.25">
      <c r="A33" s="225"/>
      <c r="B33" s="226" t="s">
        <v>178</v>
      </c>
      <c r="C33" s="1085"/>
      <c r="D33" s="228" t="s">
        <v>227</v>
      </c>
      <c r="E33" s="228" t="s">
        <v>227</v>
      </c>
      <c r="F33" s="228" t="s">
        <v>227</v>
      </c>
      <c r="G33" s="228" t="s">
        <v>227</v>
      </c>
      <c r="H33" s="228" t="s">
        <v>227</v>
      </c>
      <c r="I33" s="228" t="s">
        <v>227</v>
      </c>
      <c r="J33" s="228" t="s">
        <v>227</v>
      </c>
    </row>
    <row r="34" spans="1:10" ht="51" hidden="1" x14ac:dyDescent="0.25">
      <c r="A34" s="230" t="s">
        <v>249</v>
      </c>
      <c r="B34" s="229" t="str">
        <f>'таблица (всего)'!C19</f>
        <v xml:space="preserve">Приобретение санитарного автотранспорта </v>
      </c>
      <c r="C34" s="225" t="s">
        <v>180</v>
      </c>
      <c r="D34" s="227">
        <f>D35</f>
        <v>11059200</v>
      </c>
      <c r="E34" s="227">
        <f t="shared" ref="E34:J35" si="12">E35</f>
        <v>0</v>
      </c>
      <c r="F34" s="227">
        <f t="shared" si="12"/>
        <v>0</v>
      </c>
      <c r="G34" s="227">
        <f t="shared" si="12"/>
        <v>0</v>
      </c>
      <c r="H34" s="227">
        <f t="shared" si="12"/>
        <v>0</v>
      </c>
      <c r="I34" s="227">
        <f t="shared" si="12"/>
        <v>0</v>
      </c>
      <c r="J34" s="227">
        <f t="shared" si="12"/>
        <v>0</v>
      </c>
    </row>
    <row r="35" spans="1:10" hidden="1" x14ac:dyDescent="0.25">
      <c r="A35" s="225"/>
      <c r="B35" s="226" t="s">
        <v>176</v>
      </c>
      <c r="C35" s="1085"/>
      <c r="D35" s="227">
        <f>D36</f>
        <v>11059200</v>
      </c>
      <c r="E35" s="227">
        <f t="shared" si="12"/>
        <v>0</v>
      </c>
      <c r="F35" s="227">
        <f t="shared" si="12"/>
        <v>0</v>
      </c>
      <c r="G35" s="227">
        <f t="shared" si="12"/>
        <v>0</v>
      </c>
      <c r="H35" s="227">
        <f t="shared" si="12"/>
        <v>0</v>
      </c>
      <c r="I35" s="227">
        <f t="shared" si="12"/>
        <v>0</v>
      </c>
      <c r="J35" s="227">
        <f t="shared" si="12"/>
        <v>0</v>
      </c>
    </row>
    <row r="36" spans="1:10" hidden="1" x14ac:dyDescent="0.25">
      <c r="A36" s="225"/>
      <c r="B36" s="226" t="s">
        <v>177</v>
      </c>
      <c r="C36" s="1085"/>
      <c r="D36" s="227">
        <f>'таблица (всего)'!D19</f>
        <v>11059200</v>
      </c>
      <c r="E36" s="227">
        <f>'таблица (всего)'!E19</f>
        <v>0</v>
      </c>
      <c r="F36" s="227">
        <f>'таблица (всего)'!F19</f>
        <v>0</v>
      </c>
      <c r="G36" s="227">
        <f>'таблица (всего)'!G19</f>
        <v>0</v>
      </c>
      <c r="H36" s="227">
        <f>'таблица (всего)'!H19</f>
        <v>0</v>
      </c>
      <c r="I36" s="227">
        <f>'таблица (всего)'!I19</f>
        <v>0</v>
      </c>
      <c r="J36" s="227">
        <f>'таблица (всего)'!J19</f>
        <v>0</v>
      </c>
    </row>
    <row r="37" spans="1:10" hidden="1" x14ac:dyDescent="0.25">
      <c r="A37" s="225"/>
      <c r="B37" s="226" t="s">
        <v>178</v>
      </c>
      <c r="C37" s="1085"/>
      <c r="D37" s="228" t="s">
        <v>227</v>
      </c>
      <c r="E37" s="228" t="s">
        <v>227</v>
      </c>
      <c r="F37" s="228" t="s">
        <v>227</v>
      </c>
      <c r="G37" s="228" t="s">
        <v>227</v>
      </c>
      <c r="H37" s="228" t="s">
        <v>227</v>
      </c>
      <c r="I37" s="228" t="s">
        <v>227</v>
      </c>
      <c r="J37" s="228" t="s">
        <v>227</v>
      </c>
    </row>
    <row r="38" spans="1:10" ht="51" hidden="1" x14ac:dyDescent="0.25">
      <c r="A38" s="230" t="s">
        <v>250</v>
      </c>
      <c r="B38" s="226" t="str">
        <f>'таблица (всего)'!C20</f>
        <v>Мероприятия по развитию службы крови</v>
      </c>
      <c r="C38" s="225" t="s">
        <v>180</v>
      </c>
      <c r="D38" s="227">
        <f>D39</f>
        <v>296963400</v>
      </c>
      <c r="E38" s="227">
        <f t="shared" ref="E38:J38" si="13">E39</f>
        <v>0</v>
      </c>
      <c r="F38" s="227">
        <f t="shared" si="13"/>
        <v>0</v>
      </c>
      <c r="G38" s="227">
        <f t="shared" si="13"/>
        <v>0</v>
      </c>
      <c r="H38" s="227">
        <f t="shared" si="13"/>
        <v>0</v>
      </c>
      <c r="I38" s="227">
        <f t="shared" si="13"/>
        <v>0</v>
      </c>
      <c r="J38" s="227">
        <f t="shared" si="13"/>
        <v>0</v>
      </c>
    </row>
    <row r="39" spans="1:10" hidden="1" x14ac:dyDescent="0.25">
      <c r="A39" s="225"/>
      <c r="B39" s="226" t="s">
        <v>176</v>
      </c>
      <c r="C39" s="1085"/>
      <c r="D39" s="227">
        <f>D41</f>
        <v>296963400</v>
      </c>
      <c r="E39" s="227">
        <f t="shared" ref="E39:J39" si="14">E41</f>
        <v>0</v>
      </c>
      <c r="F39" s="227">
        <f t="shared" si="14"/>
        <v>0</v>
      </c>
      <c r="G39" s="227">
        <f t="shared" si="14"/>
        <v>0</v>
      </c>
      <c r="H39" s="227">
        <f t="shared" si="14"/>
        <v>0</v>
      </c>
      <c r="I39" s="227">
        <f t="shared" si="14"/>
        <v>0</v>
      </c>
      <c r="J39" s="227">
        <f t="shared" si="14"/>
        <v>0</v>
      </c>
    </row>
    <row r="40" spans="1:10" hidden="1" x14ac:dyDescent="0.25">
      <c r="A40" s="225"/>
      <c r="B40" s="226" t="s">
        <v>177</v>
      </c>
      <c r="C40" s="1085"/>
      <c r="D40" s="228" t="s">
        <v>227</v>
      </c>
      <c r="E40" s="228" t="s">
        <v>227</v>
      </c>
      <c r="F40" s="228" t="s">
        <v>227</v>
      </c>
      <c r="G40" s="228" t="s">
        <v>227</v>
      </c>
      <c r="H40" s="228" t="s">
        <v>227</v>
      </c>
      <c r="I40" s="228" t="s">
        <v>227</v>
      </c>
      <c r="J40" s="228" t="s">
        <v>227</v>
      </c>
    </row>
    <row r="41" spans="1:10" hidden="1" x14ac:dyDescent="0.25">
      <c r="A41" s="225"/>
      <c r="B41" s="226" t="s">
        <v>178</v>
      </c>
      <c r="C41" s="1085"/>
      <c r="D41" s="227">
        <f>'таблица (всего)'!D20</f>
        <v>296963400</v>
      </c>
      <c r="E41" s="227">
        <f>'таблица (всего)'!E20</f>
        <v>0</v>
      </c>
      <c r="F41" s="227">
        <f>'таблица (всего)'!F20</f>
        <v>0</v>
      </c>
      <c r="G41" s="227">
        <f>'таблица (всего)'!G20</f>
        <v>0</v>
      </c>
      <c r="H41" s="227">
        <f>'таблица (всего)'!H20</f>
        <v>0</v>
      </c>
      <c r="I41" s="227">
        <f>'таблица (всего)'!I20</f>
        <v>0</v>
      </c>
      <c r="J41" s="227">
        <f>'таблица (всего)'!J20</f>
        <v>0</v>
      </c>
    </row>
    <row r="42" spans="1:10" ht="76.5" hidden="1" x14ac:dyDescent="0.25">
      <c r="A42" s="230" t="s">
        <v>251</v>
      </c>
      <c r="B42" s="226" t="str">
        <f>'таблица (всего)'!C21</f>
        <v xml:space="preserve">Финансовое обеспечение закупок компьютерного и сетевого оборудования с лицензионным программным обеспечением для реализации мероприятий по развитию службы крови
</v>
      </c>
      <c r="C42" s="225" t="s">
        <v>180</v>
      </c>
      <c r="D42" s="227">
        <f>D43</f>
        <v>34900000</v>
      </c>
      <c r="E42" s="227">
        <f t="shared" ref="E42:J42" si="15">E43</f>
        <v>0</v>
      </c>
      <c r="F42" s="227">
        <f t="shared" si="15"/>
        <v>0</v>
      </c>
      <c r="G42" s="227">
        <f t="shared" si="15"/>
        <v>0</v>
      </c>
      <c r="H42" s="227">
        <f t="shared" si="15"/>
        <v>0</v>
      </c>
      <c r="I42" s="227">
        <f t="shared" si="15"/>
        <v>0</v>
      </c>
      <c r="J42" s="227">
        <f t="shared" si="15"/>
        <v>0</v>
      </c>
    </row>
    <row r="43" spans="1:10" hidden="1" x14ac:dyDescent="0.25">
      <c r="A43" s="225"/>
      <c r="B43" s="226" t="s">
        <v>176</v>
      </c>
      <c r="C43" s="1085"/>
      <c r="D43" s="227">
        <f>D45</f>
        <v>34900000</v>
      </c>
      <c r="E43" s="227">
        <f t="shared" ref="E43:J43" si="16">E45</f>
        <v>0</v>
      </c>
      <c r="F43" s="227">
        <f t="shared" si="16"/>
        <v>0</v>
      </c>
      <c r="G43" s="227">
        <f t="shared" si="16"/>
        <v>0</v>
      </c>
      <c r="H43" s="227">
        <f t="shared" si="16"/>
        <v>0</v>
      </c>
      <c r="I43" s="227">
        <f t="shared" si="16"/>
        <v>0</v>
      </c>
      <c r="J43" s="227">
        <f t="shared" si="16"/>
        <v>0</v>
      </c>
    </row>
    <row r="44" spans="1:10" hidden="1" x14ac:dyDescent="0.25">
      <c r="A44" s="225"/>
      <c r="B44" s="226" t="s">
        <v>177</v>
      </c>
      <c r="C44" s="1085"/>
      <c r="D44" s="228" t="s">
        <v>227</v>
      </c>
      <c r="E44" s="228" t="s">
        <v>227</v>
      </c>
      <c r="F44" s="228" t="s">
        <v>227</v>
      </c>
      <c r="G44" s="228" t="s">
        <v>227</v>
      </c>
      <c r="H44" s="228" t="s">
        <v>227</v>
      </c>
      <c r="I44" s="228" t="s">
        <v>227</v>
      </c>
      <c r="J44" s="228" t="s">
        <v>227</v>
      </c>
    </row>
    <row r="45" spans="1:10" hidden="1" x14ac:dyDescent="0.25">
      <c r="A45" s="225"/>
      <c r="B45" s="226" t="s">
        <v>178</v>
      </c>
      <c r="C45" s="1085"/>
      <c r="D45" s="227">
        <f>'таблица (всего)'!D21</f>
        <v>34900000</v>
      </c>
      <c r="E45" s="227">
        <f>'таблица (всего)'!E21</f>
        <v>0</v>
      </c>
      <c r="F45" s="227">
        <f>'таблица (всего)'!F21</f>
        <v>0</v>
      </c>
      <c r="G45" s="227">
        <f>'таблица (всего)'!G21</f>
        <v>0</v>
      </c>
      <c r="H45" s="227">
        <f>'таблица (всего)'!H21</f>
        <v>0</v>
      </c>
      <c r="I45" s="227">
        <f>'таблица (всего)'!I21</f>
        <v>0</v>
      </c>
      <c r="J45" s="227">
        <f>'таблица (всего)'!J21</f>
        <v>0</v>
      </c>
    </row>
    <row r="46" spans="1:10" ht="51" hidden="1" x14ac:dyDescent="0.25">
      <c r="A46" s="230" t="s">
        <v>252</v>
      </c>
      <c r="B46" s="226" t="str">
        <f>'таблица (всего)'!C22</f>
        <v>Текущий ремонт объектов благоустройства внутреннего двора корпуса для ветеранов войн ОБУЗ "Ивановский областной госпиталь для ветеранов войн"</v>
      </c>
      <c r="C46" s="225" t="s">
        <v>180</v>
      </c>
      <c r="D46" s="227">
        <f>D47</f>
        <v>1124600</v>
      </c>
      <c r="E46" s="227">
        <f t="shared" ref="E46:J47" si="17">E47</f>
        <v>0</v>
      </c>
      <c r="F46" s="227">
        <f t="shared" si="17"/>
        <v>0</v>
      </c>
      <c r="G46" s="227">
        <f t="shared" si="17"/>
        <v>0</v>
      </c>
      <c r="H46" s="227">
        <f t="shared" si="17"/>
        <v>0</v>
      </c>
      <c r="I46" s="227">
        <f t="shared" si="17"/>
        <v>0</v>
      </c>
      <c r="J46" s="227">
        <f t="shared" si="17"/>
        <v>0</v>
      </c>
    </row>
    <row r="47" spans="1:10" hidden="1" x14ac:dyDescent="0.25">
      <c r="A47" s="225"/>
      <c r="B47" s="226" t="s">
        <v>176</v>
      </c>
      <c r="C47" s="1085"/>
      <c r="D47" s="227">
        <f>D48</f>
        <v>1124600</v>
      </c>
      <c r="E47" s="227">
        <f t="shared" si="17"/>
        <v>0</v>
      </c>
      <c r="F47" s="227">
        <f t="shared" si="17"/>
        <v>0</v>
      </c>
      <c r="G47" s="227">
        <f t="shared" si="17"/>
        <v>0</v>
      </c>
      <c r="H47" s="227">
        <f t="shared" si="17"/>
        <v>0</v>
      </c>
      <c r="I47" s="227">
        <f t="shared" si="17"/>
        <v>0</v>
      </c>
      <c r="J47" s="227">
        <f t="shared" si="17"/>
        <v>0</v>
      </c>
    </row>
    <row r="48" spans="1:10" hidden="1" x14ac:dyDescent="0.25">
      <c r="A48" s="225"/>
      <c r="B48" s="226" t="s">
        <v>177</v>
      </c>
      <c r="C48" s="1085"/>
      <c r="D48" s="227">
        <f>'таблица (всего)'!D22</f>
        <v>1124600</v>
      </c>
      <c r="E48" s="227">
        <f>'таблица (всего)'!E22</f>
        <v>0</v>
      </c>
      <c r="F48" s="227">
        <f>'таблица (всего)'!F22</f>
        <v>0</v>
      </c>
      <c r="G48" s="227">
        <f>'таблица (всего)'!G22</f>
        <v>0</v>
      </c>
      <c r="H48" s="227">
        <f>'таблица (всего)'!H22</f>
        <v>0</v>
      </c>
      <c r="I48" s="227">
        <f>'таблица (всего)'!I22</f>
        <v>0</v>
      </c>
      <c r="J48" s="227">
        <f>'таблица (всего)'!J22</f>
        <v>0</v>
      </c>
    </row>
    <row r="49" spans="1:10" hidden="1" x14ac:dyDescent="0.25">
      <c r="A49" s="225"/>
      <c r="B49" s="226" t="s">
        <v>178</v>
      </c>
      <c r="C49" s="1085"/>
      <c r="D49" s="228" t="s">
        <v>227</v>
      </c>
      <c r="E49" s="228" t="s">
        <v>227</v>
      </c>
      <c r="F49" s="228" t="s">
        <v>227</v>
      </c>
      <c r="G49" s="228" t="s">
        <v>227</v>
      </c>
      <c r="H49" s="228" t="s">
        <v>227</v>
      </c>
      <c r="I49" s="228" t="s">
        <v>227</v>
      </c>
      <c r="J49" s="228" t="s">
        <v>227</v>
      </c>
    </row>
    <row r="50" spans="1:10" ht="51" hidden="1" x14ac:dyDescent="0.25">
      <c r="A50" s="230" t="s">
        <v>253</v>
      </c>
      <c r="B50" s="226" t="str">
        <f>'таблица (всего)'!C23</f>
        <v>Ремонт патологоанатомического отделения областного бюджетного учреждения здравоохранения "Ивановская областная клиническая больница"</v>
      </c>
      <c r="C50" s="225" t="s">
        <v>180</v>
      </c>
      <c r="D50" s="227">
        <f>D51</f>
        <v>1990200</v>
      </c>
      <c r="E50" s="227">
        <f t="shared" ref="E50:J51" si="18">E51</f>
        <v>0</v>
      </c>
      <c r="F50" s="227">
        <f t="shared" si="18"/>
        <v>0</v>
      </c>
      <c r="G50" s="227">
        <f t="shared" si="18"/>
        <v>0</v>
      </c>
      <c r="H50" s="227">
        <f t="shared" si="18"/>
        <v>0</v>
      </c>
      <c r="I50" s="227">
        <f t="shared" si="18"/>
        <v>0</v>
      </c>
      <c r="J50" s="227">
        <f t="shared" si="18"/>
        <v>0</v>
      </c>
    </row>
    <row r="51" spans="1:10" hidden="1" x14ac:dyDescent="0.25">
      <c r="A51" s="225"/>
      <c r="B51" s="226" t="s">
        <v>176</v>
      </c>
      <c r="C51" s="1085"/>
      <c r="D51" s="227">
        <f>D52</f>
        <v>1990200</v>
      </c>
      <c r="E51" s="227">
        <f t="shared" si="18"/>
        <v>0</v>
      </c>
      <c r="F51" s="227">
        <f t="shared" si="18"/>
        <v>0</v>
      </c>
      <c r="G51" s="227">
        <f t="shared" si="18"/>
        <v>0</v>
      </c>
      <c r="H51" s="227">
        <f t="shared" si="18"/>
        <v>0</v>
      </c>
      <c r="I51" s="227">
        <f t="shared" si="18"/>
        <v>0</v>
      </c>
      <c r="J51" s="227">
        <f t="shared" si="18"/>
        <v>0</v>
      </c>
    </row>
    <row r="52" spans="1:10" hidden="1" x14ac:dyDescent="0.25">
      <c r="A52" s="225"/>
      <c r="B52" s="226" t="s">
        <v>177</v>
      </c>
      <c r="C52" s="1085"/>
      <c r="D52" s="227">
        <f>'таблица (всего)'!D23</f>
        <v>1990200</v>
      </c>
      <c r="E52" s="227">
        <f>'таблица (всего)'!E23</f>
        <v>0</v>
      </c>
      <c r="F52" s="227">
        <f>'таблица (всего)'!F23</f>
        <v>0</v>
      </c>
      <c r="G52" s="227">
        <f>'таблица (всего)'!G23</f>
        <v>0</v>
      </c>
      <c r="H52" s="227">
        <f>'таблица (всего)'!H23</f>
        <v>0</v>
      </c>
      <c r="I52" s="227">
        <f>'таблица (всего)'!I23</f>
        <v>0</v>
      </c>
      <c r="J52" s="227">
        <f>'таблица (всего)'!J23</f>
        <v>0</v>
      </c>
    </row>
    <row r="53" spans="1:10" hidden="1" x14ac:dyDescent="0.25">
      <c r="A53" s="225"/>
      <c r="B53" s="226" t="s">
        <v>178</v>
      </c>
      <c r="C53" s="1085"/>
      <c r="D53" s="228" t="s">
        <v>227</v>
      </c>
      <c r="E53" s="228" t="s">
        <v>227</v>
      </c>
      <c r="F53" s="228" t="s">
        <v>227</v>
      </c>
      <c r="G53" s="228" t="s">
        <v>227</v>
      </c>
      <c r="H53" s="228" t="s">
        <v>227</v>
      </c>
      <c r="I53" s="228" t="s">
        <v>227</v>
      </c>
      <c r="J53" s="228" t="s">
        <v>227</v>
      </c>
    </row>
    <row r="54" spans="1:10" ht="51" hidden="1" x14ac:dyDescent="0.25">
      <c r="A54" s="230" t="s">
        <v>254</v>
      </c>
      <c r="B54" s="226" t="str">
        <f>'таблица (всего)'!C24</f>
        <v>Пристройка шахты лифта к хирургическому корпусу ОБУЗ «Кинешемская центральная районная больница»</v>
      </c>
      <c r="C54" s="225" t="s">
        <v>180</v>
      </c>
      <c r="D54" s="227">
        <f>D55</f>
        <v>0</v>
      </c>
      <c r="E54" s="227">
        <f t="shared" ref="E54:J55" si="19">E55</f>
        <v>4200000</v>
      </c>
      <c r="F54" s="227">
        <f t="shared" si="19"/>
        <v>0</v>
      </c>
      <c r="G54" s="227">
        <f t="shared" si="19"/>
        <v>0</v>
      </c>
      <c r="H54" s="227">
        <f t="shared" si="19"/>
        <v>0</v>
      </c>
      <c r="I54" s="227">
        <f t="shared" si="19"/>
        <v>0</v>
      </c>
      <c r="J54" s="227">
        <f t="shared" si="19"/>
        <v>0</v>
      </c>
    </row>
    <row r="55" spans="1:10" hidden="1" x14ac:dyDescent="0.25">
      <c r="A55" s="225"/>
      <c r="B55" s="226" t="s">
        <v>176</v>
      </c>
      <c r="C55" s="1085"/>
      <c r="D55" s="227">
        <f>D56</f>
        <v>0</v>
      </c>
      <c r="E55" s="227">
        <f t="shared" si="19"/>
        <v>4200000</v>
      </c>
      <c r="F55" s="227">
        <f t="shared" si="19"/>
        <v>0</v>
      </c>
      <c r="G55" s="227">
        <f t="shared" si="19"/>
        <v>0</v>
      </c>
      <c r="H55" s="227">
        <f t="shared" si="19"/>
        <v>0</v>
      </c>
      <c r="I55" s="227">
        <f t="shared" si="19"/>
        <v>0</v>
      </c>
      <c r="J55" s="227">
        <f t="shared" si="19"/>
        <v>0</v>
      </c>
    </row>
    <row r="56" spans="1:10" hidden="1" x14ac:dyDescent="0.25">
      <c r="A56" s="225"/>
      <c r="B56" s="226" t="s">
        <v>177</v>
      </c>
      <c r="C56" s="1085"/>
      <c r="D56" s="227">
        <f>'таблица (всего)'!D24</f>
        <v>0</v>
      </c>
      <c r="E56" s="227">
        <f>'таблица (всего)'!E24</f>
        <v>4200000</v>
      </c>
      <c r="F56" s="227">
        <f>'таблица (всего)'!F24</f>
        <v>0</v>
      </c>
      <c r="G56" s="227">
        <f>'таблица (всего)'!G24</f>
        <v>0</v>
      </c>
      <c r="H56" s="227">
        <f>'таблица (всего)'!H24</f>
        <v>0</v>
      </c>
      <c r="I56" s="227">
        <f>'таблица (всего)'!I24</f>
        <v>0</v>
      </c>
      <c r="J56" s="227">
        <f>'таблица (всего)'!J24</f>
        <v>0</v>
      </c>
    </row>
    <row r="57" spans="1:10" hidden="1" x14ac:dyDescent="0.25">
      <c r="A57" s="225"/>
      <c r="B57" s="226" t="s">
        <v>178</v>
      </c>
      <c r="C57" s="1085"/>
      <c r="D57" s="228" t="s">
        <v>227</v>
      </c>
      <c r="E57" s="228" t="s">
        <v>227</v>
      </c>
      <c r="F57" s="228" t="s">
        <v>227</v>
      </c>
      <c r="G57" s="228" t="s">
        <v>227</v>
      </c>
      <c r="H57" s="228" t="s">
        <v>227</v>
      </c>
      <c r="I57" s="228" t="s">
        <v>227</v>
      </c>
      <c r="J57" s="228" t="s">
        <v>227</v>
      </c>
    </row>
  </sheetData>
  <mergeCells count="16">
    <mergeCell ref="C55:C57"/>
    <mergeCell ref="I1:J1"/>
    <mergeCell ref="C39:C41"/>
    <mergeCell ref="C43:C45"/>
    <mergeCell ref="C47:C49"/>
    <mergeCell ref="C51:C53"/>
    <mergeCell ref="C23:C25"/>
    <mergeCell ref="C27:C29"/>
    <mergeCell ref="C31:C33"/>
    <mergeCell ref="C35:C37"/>
    <mergeCell ref="C19:C21"/>
    <mergeCell ref="C7:C9"/>
    <mergeCell ref="C11:C13"/>
    <mergeCell ref="C15:C17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3"/>
  <sheetViews>
    <sheetView zoomScale="90" zoomScaleNormal="90" workbookViewId="0">
      <selection activeCell="F37" sqref="F37"/>
    </sheetView>
  </sheetViews>
  <sheetFormatPr defaultRowHeight="15" x14ac:dyDescent="0.25"/>
  <cols>
    <col min="1" max="1" width="4.140625" style="76" customWidth="1"/>
    <col min="2" max="2" width="38.28515625" style="219" customWidth="1"/>
    <col min="3" max="3" width="16.140625" style="76" customWidth="1"/>
    <col min="4" max="5" width="17.5703125" style="77" hidden="1" customWidth="1"/>
    <col min="6" max="6" width="17.5703125" style="77" customWidth="1"/>
    <col min="7" max="10" width="17.5703125" customWidth="1"/>
    <col min="11" max="11" width="14.85546875" bestFit="1" customWidth="1"/>
  </cols>
  <sheetData>
    <row r="1" spans="1:17" ht="86.25" customHeight="1" x14ac:dyDescent="0.25">
      <c r="I1" s="1086" t="s">
        <v>181</v>
      </c>
      <c r="J1" s="1086"/>
    </row>
    <row r="2" spans="1:17" ht="26.25" customHeight="1" x14ac:dyDescent="0.25">
      <c r="A2" s="1087" t="s">
        <v>182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24" customHeight="1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810033222.42000008</v>
      </c>
      <c r="E6" s="227">
        <f t="shared" ref="E6:J6" si="0">E7</f>
        <v>547542835.72000003</v>
      </c>
      <c r="F6" s="313">
        <f t="shared" si="0"/>
        <v>417458460.48000002</v>
      </c>
      <c r="G6" s="313">
        <f t="shared" si="0"/>
        <v>217694107.16</v>
      </c>
      <c r="H6" s="313">
        <f t="shared" si="0"/>
        <v>214381807.16</v>
      </c>
      <c r="I6" s="313">
        <f t="shared" si="0"/>
        <v>213048358.88999999</v>
      </c>
      <c r="J6" s="313">
        <f t="shared" si="0"/>
        <v>152985558.88999999</v>
      </c>
      <c r="K6" s="222">
        <f>D6-'таблица (всего)'!D25</f>
        <v>0</v>
      </c>
      <c r="L6" s="222">
        <f>E6-'таблица (всего)'!E25</f>
        <v>0</v>
      </c>
      <c r="M6" s="222">
        <f>F6-'таблица (всего)'!F25</f>
        <v>0</v>
      </c>
      <c r="N6" s="222">
        <f>G6-'таблица (всего)'!G25</f>
        <v>0</v>
      </c>
      <c r="O6" s="222">
        <f>H6-'таблица (всего)'!H25</f>
        <v>0</v>
      </c>
      <c r="P6" s="222">
        <f>I6-'таблица (всего)'!I25</f>
        <v>0</v>
      </c>
      <c r="Q6" s="222">
        <f>J6-'таблица (всего)'!J25</f>
        <v>0</v>
      </c>
    </row>
    <row r="7" spans="1:17" x14ac:dyDescent="0.25">
      <c r="A7" s="225"/>
      <c r="B7" s="226" t="s">
        <v>225</v>
      </c>
      <c r="C7" s="1085"/>
      <c r="D7" s="227">
        <f>D8+D9</f>
        <v>810033222.42000008</v>
      </c>
      <c r="E7" s="227">
        <f t="shared" ref="E7:J7" si="1">E8+E9</f>
        <v>547542835.72000003</v>
      </c>
      <c r="F7" s="313">
        <f t="shared" si="1"/>
        <v>417458460.48000002</v>
      </c>
      <c r="G7" s="313">
        <f t="shared" si="1"/>
        <v>217694107.16</v>
      </c>
      <c r="H7" s="313">
        <f t="shared" si="1"/>
        <v>214381807.16</v>
      </c>
      <c r="I7" s="313">
        <f t="shared" si="1"/>
        <v>213048358.88999999</v>
      </c>
      <c r="J7" s="313">
        <f t="shared" si="1"/>
        <v>152985558.88999999</v>
      </c>
    </row>
    <row r="8" spans="1:17" x14ac:dyDescent="0.25">
      <c r="A8" s="225"/>
      <c r="B8" s="226" t="s">
        <v>177</v>
      </c>
      <c r="C8" s="1085"/>
      <c r="D8" s="227">
        <f t="shared" ref="D8:J8" si="2">D12+D28+D56+D68</f>
        <v>568401300</v>
      </c>
      <c r="E8" s="227">
        <f t="shared" si="2"/>
        <v>143755215.55000001</v>
      </c>
      <c r="F8" s="313">
        <f t="shared" si="2"/>
        <v>156710860.47999999</v>
      </c>
      <c r="G8" s="313">
        <f t="shared" si="2"/>
        <v>152984307.16</v>
      </c>
      <c r="H8" s="313">
        <f t="shared" si="2"/>
        <v>152984307.16</v>
      </c>
      <c r="I8" s="313">
        <f t="shared" si="2"/>
        <v>152985558.88999999</v>
      </c>
      <c r="J8" s="313">
        <f t="shared" si="2"/>
        <v>152985558.88999999</v>
      </c>
      <c r="K8" s="222">
        <f>D8-'таблица (всего)'!D27</f>
        <v>0</v>
      </c>
      <c r="L8" s="222">
        <f>E8-'таблица (всего)'!E27</f>
        <v>0</v>
      </c>
      <c r="M8" s="222">
        <f>F8-'таблица (всего)'!F27</f>
        <v>0</v>
      </c>
      <c r="N8" s="222">
        <f>G8-'таблица (всего)'!G27</f>
        <v>0</v>
      </c>
      <c r="O8" s="222">
        <f>H8-'таблица (всего)'!H27</f>
        <v>0</v>
      </c>
      <c r="P8" s="222">
        <f>I8-'таблица (всего)'!I27</f>
        <v>0</v>
      </c>
      <c r="Q8" s="222">
        <f>J8-'таблица (всего)'!J27</f>
        <v>0</v>
      </c>
    </row>
    <row r="9" spans="1:17" x14ac:dyDescent="0.25">
      <c r="A9" s="225"/>
      <c r="B9" s="226" t="s">
        <v>178</v>
      </c>
      <c r="C9" s="1085"/>
      <c r="D9" s="227">
        <f>D37</f>
        <v>241631922.42000002</v>
      </c>
      <c r="E9" s="227">
        <f t="shared" ref="E9:J9" si="3">E37</f>
        <v>403787620.17000002</v>
      </c>
      <c r="F9" s="313">
        <f t="shared" si="3"/>
        <v>260747600</v>
      </c>
      <c r="G9" s="313">
        <f t="shared" si="3"/>
        <v>64709800</v>
      </c>
      <c r="H9" s="313">
        <f t="shared" si="3"/>
        <v>61397500</v>
      </c>
      <c r="I9" s="313">
        <f t="shared" si="3"/>
        <v>60062800</v>
      </c>
      <c r="J9" s="313">
        <f t="shared" si="3"/>
        <v>0</v>
      </c>
      <c r="K9" s="222">
        <f>D9-'таблица (всего)'!D26</f>
        <v>0</v>
      </c>
      <c r="L9" s="222">
        <f>E9-'таблица (всего)'!E26</f>
        <v>0</v>
      </c>
      <c r="M9" s="222">
        <f>F9-'таблица (всего)'!F26</f>
        <v>0</v>
      </c>
      <c r="N9" s="222">
        <f>G9-'таблица (всего)'!G26</f>
        <v>0</v>
      </c>
      <c r="O9" s="222">
        <f>H9-'таблица (всего)'!H26</f>
        <v>0</v>
      </c>
      <c r="P9" s="222">
        <f>I9-'таблица (всего)'!I26</f>
        <v>0</v>
      </c>
      <c r="Q9" s="222">
        <f>J9-'таблица (всего)'!J26</f>
        <v>0</v>
      </c>
    </row>
    <row r="10" spans="1:17" ht="51" x14ac:dyDescent="0.25">
      <c r="A10" s="225" t="s">
        <v>228</v>
      </c>
      <c r="B10" s="229" t="str">
        <f>'таблица (всего)'!C28</f>
        <v>«Оказание первичной медико-санитарной помощи»</v>
      </c>
      <c r="C10" s="225" t="s">
        <v>180</v>
      </c>
      <c r="D10" s="227">
        <f>D11</f>
        <v>168762400</v>
      </c>
      <c r="E10" s="227">
        <f t="shared" ref="E10:J11" si="4">E11</f>
        <v>138202674.24000001</v>
      </c>
      <c r="F10" s="313">
        <f t="shared" si="4"/>
        <v>151156853.16999999</v>
      </c>
      <c r="G10" s="313">
        <f t="shared" si="4"/>
        <v>146984307.16</v>
      </c>
      <c r="H10" s="313">
        <f t="shared" si="4"/>
        <v>146984307.16</v>
      </c>
      <c r="I10" s="313">
        <f t="shared" si="4"/>
        <v>146985558.88999999</v>
      </c>
      <c r="J10" s="313">
        <f t="shared" si="4"/>
        <v>146985558.88999999</v>
      </c>
    </row>
    <row r="11" spans="1:17" x14ac:dyDescent="0.25">
      <c r="A11" s="225"/>
      <c r="B11" s="226" t="s">
        <v>225</v>
      </c>
      <c r="C11" s="1085"/>
      <c r="D11" s="227">
        <f>D12</f>
        <v>168762400</v>
      </c>
      <c r="E11" s="227">
        <f t="shared" si="4"/>
        <v>138202674.24000001</v>
      </c>
      <c r="F11" s="313">
        <f t="shared" si="4"/>
        <v>151156853.16999999</v>
      </c>
      <c r="G11" s="313">
        <f t="shared" si="4"/>
        <v>146984307.16</v>
      </c>
      <c r="H11" s="313">
        <f t="shared" si="4"/>
        <v>146984307.16</v>
      </c>
      <c r="I11" s="313">
        <f t="shared" si="4"/>
        <v>146985558.88999999</v>
      </c>
      <c r="J11" s="313">
        <f t="shared" si="4"/>
        <v>146985558.88999999</v>
      </c>
    </row>
    <row r="12" spans="1:17" x14ac:dyDescent="0.25">
      <c r="A12" s="225"/>
      <c r="B12" s="226" t="s">
        <v>177</v>
      </c>
      <c r="C12" s="1085"/>
      <c r="D12" s="227">
        <f t="shared" ref="D12:J12" si="5">D16+D20+D24</f>
        <v>168762400</v>
      </c>
      <c r="E12" s="227">
        <f t="shared" si="5"/>
        <v>138202674.24000001</v>
      </c>
      <c r="F12" s="313">
        <f t="shared" si="5"/>
        <v>151156853.16999999</v>
      </c>
      <c r="G12" s="313">
        <f t="shared" si="5"/>
        <v>146984307.16</v>
      </c>
      <c r="H12" s="313">
        <f t="shared" si="5"/>
        <v>146984307.16</v>
      </c>
      <c r="I12" s="313">
        <f t="shared" si="5"/>
        <v>146985558.88999999</v>
      </c>
      <c r="J12" s="313">
        <f t="shared" si="5"/>
        <v>146985558.88999999</v>
      </c>
    </row>
    <row r="13" spans="1:17" x14ac:dyDescent="0.25">
      <c r="A13" s="225"/>
      <c r="B13" s="226" t="s">
        <v>178</v>
      </c>
      <c r="C13" s="1085"/>
      <c r="D13" s="228" t="s">
        <v>227</v>
      </c>
      <c r="E13" s="228" t="s">
        <v>227</v>
      </c>
      <c r="F13" s="313">
        <v>0</v>
      </c>
      <c r="G13" s="313">
        <v>0</v>
      </c>
      <c r="H13" s="313">
        <v>0</v>
      </c>
      <c r="I13" s="313">
        <v>0</v>
      </c>
      <c r="J13" s="313">
        <v>0</v>
      </c>
    </row>
    <row r="14" spans="1:17" ht="76.5" x14ac:dyDescent="0.25">
      <c r="A14" s="230" t="s">
        <v>234</v>
      </c>
      <c r="B14" s="231" t="str">
        <f>'таблица (всего)'!C29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5" t="s">
        <v>180</v>
      </c>
      <c r="D14" s="227">
        <f t="shared" ref="D14:J14" si="6">D15</f>
        <v>24280100</v>
      </c>
      <c r="E14" s="227">
        <f t="shared" si="6"/>
        <v>7737100.0099999998</v>
      </c>
      <c r="F14" s="313">
        <f t="shared" si="6"/>
        <v>20306066.59</v>
      </c>
      <c r="G14" s="313">
        <f t="shared" si="6"/>
        <v>20306066.59</v>
      </c>
      <c r="H14" s="313">
        <f t="shared" si="6"/>
        <v>20306066.59</v>
      </c>
      <c r="I14" s="313">
        <f t="shared" si="6"/>
        <v>20306066.59</v>
      </c>
      <c r="J14" s="313">
        <f t="shared" si="6"/>
        <v>20306066.59</v>
      </c>
    </row>
    <row r="15" spans="1:17" x14ac:dyDescent="0.25">
      <c r="A15" s="225"/>
      <c r="B15" s="226" t="s">
        <v>225</v>
      </c>
      <c r="C15" s="1085"/>
      <c r="D15" s="227">
        <v>24280100</v>
      </c>
      <c r="E15" s="227">
        <f t="shared" ref="E15:J15" si="7">E16</f>
        <v>7737100.0099999998</v>
      </c>
      <c r="F15" s="313">
        <f t="shared" si="7"/>
        <v>20306066.59</v>
      </c>
      <c r="G15" s="313">
        <f t="shared" si="7"/>
        <v>20306066.59</v>
      </c>
      <c r="H15" s="313">
        <f t="shared" si="7"/>
        <v>20306066.59</v>
      </c>
      <c r="I15" s="313">
        <f t="shared" si="7"/>
        <v>20306066.59</v>
      </c>
      <c r="J15" s="313">
        <f t="shared" si="7"/>
        <v>20306066.59</v>
      </c>
    </row>
    <row r="16" spans="1:17" x14ac:dyDescent="0.25">
      <c r="A16" s="225"/>
      <c r="B16" s="226" t="s">
        <v>177</v>
      </c>
      <c r="C16" s="1085"/>
      <c r="D16" s="227">
        <f>'таблица (всего)'!D29</f>
        <v>24280100</v>
      </c>
      <c r="E16" s="227">
        <f>'таблица (всего)'!E29</f>
        <v>7737100.0099999998</v>
      </c>
      <c r="F16" s="313">
        <f>'таблица (всего)'!F29</f>
        <v>20306066.59</v>
      </c>
      <c r="G16" s="313">
        <f>'таблица (всего)'!G29</f>
        <v>20306066.59</v>
      </c>
      <c r="H16" s="313">
        <f>'таблица (всего)'!H29</f>
        <v>20306066.59</v>
      </c>
      <c r="I16" s="313">
        <f>'таблица (всего)'!I29</f>
        <v>20306066.59</v>
      </c>
      <c r="J16" s="313">
        <f>'таблица (всего)'!J29</f>
        <v>20306066.59</v>
      </c>
    </row>
    <row r="17" spans="1:10" x14ac:dyDescent="0.25">
      <c r="A17" s="225"/>
      <c r="B17" s="226" t="s">
        <v>178</v>
      </c>
      <c r="C17" s="1085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(всего)'!C30</f>
        <v>Оказание первичной медико-санитарной помощи в амбулаторных условиях</v>
      </c>
      <c r="C18" s="225" t="s">
        <v>180</v>
      </c>
      <c r="D18" s="227">
        <f>D19</f>
        <v>144482300</v>
      </c>
      <c r="E18" s="227">
        <f t="shared" ref="E18:J19" si="8">E19</f>
        <v>129945840.98999999</v>
      </c>
      <c r="F18" s="313">
        <f t="shared" si="8"/>
        <v>125850786.58</v>
      </c>
      <c r="G18" s="313">
        <f t="shared" si="8"/>
        <v>121478240.56999999</v>
      </c>
      <c r="H18" s="313">
        <f t="shared" si="8"/>
        <v>121478240.56999999</v>
      </c>
      <c r="I18" s="313">
        <f t="shared" si="8"/>
        <v>121479492.3</v>
      </c>
      <c r="J18" s="313">
        <f t="shared" si="8"/>
        <v>121479492.3</v>
      </c>
    </row>
    <row r="19" spans="1:10" x14ac:dyDescent="0.25">
      <c r="A19" s="225"/>
      <c r="B19" s="226" t="s">
        <v>225</v>
      </c>
      <c r="C19" s="1085"/>
      <c r="D19" s="227">
        <f>D20</f>
        <v>144482300</v>
      </c>
      <c r="E19" s="227">
        <f t="shared" si="8"/>
        <v>129945840.98999999</v>
      </c>
      <c r="F19" s="313">
        <f t="shared" si="8"/>
        <v>125850786.58</v>
      </c>
      <c r="G19" s="313">
        <f t="shared" si="8"/>
        <v>121478240.56999999</v>
      </c>
      <c r="H19" s="313">
        <f t="shared" si="8"/>
        <v>121478240.56999999</v>
      </c>
      <c r="I19" s="313">
        <f t="shared" si="8"/>
        <v>121479492.3</v>
      </c>
      <c r="J19" s="313">
        <f t="shared" si="8"/>
        <v>121479492.3</v>
      </c>
    </row>
    <row r="20" spans="1:10" x14ac:dyDescent="0.25">
      <c r="A20" s="225"/>
      <c r="B20" s="226" t="s">
        <v>177</v>
      </c>
      <c r="C20" s="1085"/>
      <c r="D20" s="227">
        <f>'таблица (всего)'!D30</f>
        <v>144482300</v>
      </c>
      <c r="E20" s="227">
        <f>'таблица (всего)'!E30</f>
        <v>129945840.98999999</v>
      </c>
      <c r="F20" s="313">
        <f>'таблица (всего)'!F30</f>
        <v>125850786.58</v>
      </c>
      <c r="G20" s="313">
        <f>'таблица (всего)'!G30</f>
        <v>121478240.56999999</v>
      </c>
      <c r="H20" s="313">
        <f>'таблица (всего)'!H30</f>
        <v>121478240.56999999</v>
      </c>
      <c r="I20" s="313">
        <f>'таблица (всего)'!I30</f>
        <v>121479492.3</v>
      </c>
      <c r="J20" s="313">
        <f>'таблица (всего)'!J30</f>
        <v>121479492.3</v>
      </c>
    </row>
    <row r="21" spans="1:10" x14ac:dyDescent="0.25">
      <c r="A21" s="225"/>
      <c r="B21" s="226" t="s">
        <v>178</v>
      </c>
      <c r="C21" s="1085"/>
      <c r="D21" s="227" t="s">
        <v>227</v>
      </c>
      <c r="E21" s="227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90" t="s">
        <v>246</v>
      </c>
      <c r="B22" s="229" t="str">
        <f>'таблица (всего)'!C31</f>
        <v>Закупка аллергена туберкулезного очищенного в стандартном разведении для проведения туберкулинодианостики</v>
      </c>
      <c r="C22" s="225" t="s">
        <v>180</v>
      </c>
      <c r="D22" s="227">
        <f>D23</f>
        <v>0</v>
      </c>
      <c r="E22" s="227">
        <f t="shared" ref="E22:J23" si="9">E23</f>
        <v>519733.24</v>
      </c>
      <c r="F22" s="313">
        <f t="shared" si="9"/>
        <v>5000000</v>
      </c>
      <c r="G22" s="313">
        <f t="shared" si="9"/>
        <v>5200000</v>
      </c>
      <c r="H22" s="313">
        <f t="shared" si="9"/>
        <v>5200000</v>
      </c>
      <c r="I22" s="313">
        <f t="shared" si="9"/>
        <v>5200000</v>
      </c>
      <c r="J22" s="313">
        <f t="shared" si="9"/>
        <v>5200000</v>
      </c>
    </row>
    <row r="23" spans="1:10" x14ac:dyDescent="0.25">
      <c r="A23" s="290"/>
      <c r="B23" s="226" t="s">
        <v>225</v>
      </c>
      <c r="C23" s="225"/>
      <c r="D23" s="227">
        <f>D24</f>
        <v>0</v>
      </c>
      <c r="E23" s="227">
        <f t="shared" si="9"/>
        <v>519733.24</v>
      </c>
      <c r="F23" s="313">
        <f t="shared" si="9"/>
        <v>5000000</v>
      </c>
      <c r="G23" s="313">
        <f t="shared" si="9"/>
        <v>5200000</v>
      </c>
      <c r="H23" s="313">
        <f t="shared" si="9"/>
        <v>5200000</v>
      </c>
      <c r="I23" s="313">
        <f t="shared" si="9"/>
        <v>5200000</v>
      </c>
      <c r="J23" s="313">
        <f t="shared" si="9"/>
        <v>5200000</v>
      </c>
    </row>
    <row r="24" spans="1:10" x14ac:dyDescent="0.25">
      <c r="A24" s="290"/>
      <c r="B24" s="226" t="s">
        <v>177</v>
      </c>
      <c r="C24" s="225"/>
      <c r="D24" s="227">
        <f>'таблица (всего)'!D31</f>
        <v>0</v>
      </c>
      <c r="E24" s="227">
        <f>'таблица (всего)'!E31</f>
        <v>519733.24</v>
      </c>
      <c r="F24" s="313">
        <f>'таблица (всего)'!F31</f>
        <v>5000000</v>
      </c>
      <c r="G24" s="313">
        <f>'таблица (всего)'!G31</f>
        <v>5200000</v>
      </c>
      <c r="H24" s="313">
        <f>'таблица (всего)'!H31</f>
        <v>5200000</v>
      </c>
      <c r="I24" s="313">
        <f>'таблица (всего)'!I31</f>
        <v>5200000</v>
      </c>
      <c r="J24" s="313">
        <f>'таблица (всего)'!J31</f>
        <v>5200000</v>
      </c>
    </row>
    <row r="25" spans="1:10" x14ac:dyDescent="0.25">
      <c r="A25" s="290"/>
      <c r="B25" s="226" t="s">
        <v>178</v>
      </c>
      <c r="C25" s="225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x14ac:dyDescent="0.25">
      <c r="A26" s="225" t="s">
        <v>229</v>
      </c>
      <c r="B26" s="229" t="str">
        <f>'таблица (всего)'!C32</f>
        <v>«Профилактика инфекционных заболеваний, включая имунопрофилактику»</v>
      </c>
      <c r="C26" s="225" t="s">
        <v>180</v>
      </c>
      <c r="D26" s="227">
        <f>D27</f>
        <v>5289600</v>
      </c>
      <c r="E26" s="227">
        <f t="shared" ref="E26:J27" si="10">E27</f>
        <v>5552541.3099999996</v>
      </c>
      <c r="F26" s="313">
        <f t="shared" si="10"/>
        <v>5554007.3099999996</v>
      </c>
      <c r="G26" s="313">
        <f t="shared" si="10"/>
        <v>6000000</v>
      </c>
      <c r="H26" s="313">
        <f t="shared" si="10"/>
        <v>6000000</v>
      </c>
      <c r="I26" s="313">
        <f t="shared" si="10"/>
        <v>6000000</v>
      </c>
      <c r="J26" s="313">
        <f t="shared" si="10"/>
        <v>6000000</v>
      </c>
    </row>
    <row r="27" spans="1:10" x14ac:dyDescent="0.25">
      <c r="A27" s="225"/>
      <c r="B27" s="226" t="s">
        <v>225</v>
      </c>
      <c r="C27" s="1085"/>
      <c r="D27" s="227">
        <f>D28</f>
        <v>5289600</v>
      </c>
      <c r="E27" s="227">
        <f t="shared" si="10"/>
        <v>5552541.3099999996</v>
      </c>
      <c r="F27" s="313">
        <f t="shared" si="10"/>
        <v>5554007.3099999996</v>
      </c>
      <c r="G27" s="313">
        <f t="shared" si="10"/>
        <v>6000000</v>
      </c>
      <c r="H27" s="313">
        <f t="shared" si="10"/>
        <v>6000000</v>
      </c>
      <c r="I27" s="313">
        <f t="shared" si="10"/>
        <v>6000000</v>
      </c>
      <c r="J27" s="313">
        <f t="shared" si="10"/>
        <v>6000000</v>
      </c>
    </row>
    <row r="28" spans="1:10" x14ac:dyDescent="0.25">
      <c r="A28" s="225"/>
      <c r="B28" s="226" t="s">
        <v>177</v>
      </c>
      <c r="C28" s="1085"/>
      <c r="D28" s="227">
        <f>D32</f>
        <v>5289600</v>
      </c>
      <c r="E28" s="227">
        <f t="shared" ref="E28:J28" si="11">E32</f>
        <v>5552541.3099999996</v>
      </c>
      <c r="F28" s="313">
        <f t="shared" si="11"/>
        <v>5554007.3099999996</v>
      </c>
      <c r="G28" s="313">
        <f t="shared" si="11"/>
        <v>6000000</v>
      </c>
      <c r="H28" s="313">
        <f t="shared" si="11"/>
        <v>6000000</v>
      </c>
      <c r="I28" s="313">
        <f t="shared" si="11"/>
        <v>6000000</v>
      </c>
      <c r="J28" s="313">
        <f t="shared" si="11"/>
        <v>6000000</v>
      </c>
    </row>
    <row r="29" spans="1:10" x14ac:dyDescent="0.25">
      <c r="A29" s="225"/>
      <c r="B29" s="226" t="s">
        <v>178</v>
      </c>
      <c r="C29" s="1085"/>
      <c r="D29" s="228" t="s">
        <v>227</v>
      </c>
      <c r="E29" s="228" t="s">
        <v>227</v>
      </c>
      <c r="F29" s="313">
        <v>0</v>
      </c>
      <c r="G29" s="313">
        <v>0</v>
      </c>
      <c r="H29" s="313">
        <v>0</v>
      </c>
      <c r="I29" s="313">
        <v>0</v>
      </c>
      <c r="J29" s="313">
        <v>0</v>
      </c>
    </row>
    <row r="30" spans="1:10" ht="102" x14ac:dyDescent="0.25">
      <c r="A30" s="230" t="s">
        <v>236</v>
      </c>
      <c r="B30" s="229" t="str">
        <f>'таблица (всего)'!C33</f>
        <v>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прививок, включенных в календарь профилактических прививок по эпидемическим показаниям</v>
      </c>
      <c r="C30" s="225" t="s">
        <v>180</v>
      </c>
      <c r="D30" s="227">
        <f>D31</f>
        <v>5289600</v>
      </c>
      <c r="E30" s="227">
        <f t="shared" ref="E30:J31" si="12">E31</f>
        <v>5552541.3099999996</v>
      </c>
      <c r="F30" s="313">
        <f t="shared" si="12"/>
        <v>5554007.3099999996</v>
      </c>
      <c r="G30" s="313">
        <f t="shared" si="12"/>
        <v>6000000</v>
      </c>
      <c r="H30" s="313">
        <f t="shared" si="12"/>
        <v>6000000</v>
      </c>
      <c r="I30" s="313">
        <f t="shared" si="12"/>
        <v>6000000</v>
      </c>
      <c r="J30" s="313">
        <f t="shared" si="12"/>
        <v>6000000</v>
      </c>
    </row>
    <row r="31" spans="1:10" x14ac:dyDescent="0.25">
      <c r="A31" s="225"/>
      <c r="B31" s="226" t="s">
        <v>225</v>
      </c>
      <c r="C31" s="1085"/>
      <c r="D31" s="227">
        <f>D32</f>
        <v>5289600</v>
      </c>
      <c r="E31" s="227">
        <f t="shared" si="12"/>
        <v>5552541.3099999996</v>
      </c>
      <c r="F31" s="313">
        <f t="shared" si="12"/>
        <v>5554007.3099999996</v>
      </c>
      <c r="G31" s="313">
        <f t="shared" si="12"/>
        <v>6000000</v>
      </c>
      <c r="H31" s="313">
        <f t="shared" si="12"/>
        <v>6000000</v>
      </c>
      <c r="I31" s="313">
        <f t="shared" si="12"/>
        <v>6000000</v>
      </c>
      <c r="J31" s="313">
        <f t="shared" si="12"/>
        <v>6000000</v>
      </c>
    </row>
    <row r="32" spans="1:10" x14ac:dyDescent="0.25">
      <c r="A32" s="225"/>
      <c r="B32" s="226" t="s">
        <v>177</v>
      </c>
      <c r="C32" s="1085"/>
      <c r="D32" s="227">
        <f>'таблица (всего)'!D33</f>
        <v>5289600</v>
      </c>
      <c r="E32" s="227">
        <f>'таблица (всего)'!E33</f>
        <v>5552541.3099999996</v>
      </c>
      <c r="F32" s="313">
        <f>'таблица (всего)'!F33</f>
        <v>5554007.3099999996</v>
      </c>
      <c r="G32" s="313">
        <f>'таблица (всего)'!G33</f>
        <v>6000000</v>
      </c>
      <c r="H32" s="313">
        <f>'таблица (всего)'!H33</f>
        <v>6000000</v>
      </c>
      <c r="I32" s="313">
        <f>'таблица (всего)'!I33</f>
        <v>6000000</v>
      </c>
      <c r="J32" s="313">
        <f>'таблица (всего)'!J33</f>
        <v>6000000</v>
      </c>
    </row>
    <row r="33" spans="1:10" x14ac:dyDescent="0.25">
      <c r="A33" s="225"/>
      <c r="B33" s="226" t="s">
        <v>178</v>
      </c>
      <c r="C33" s="1085"/>
      <c r="D33" s="228" t="s">
        <v>227</v>
      </c>
      <c r="E33" s="228" t="s">
        <v>227</v>
      </c>
      <c r="F33" s="313">
        <v>0</v>
      </c>
      <c r="G33" s="313">
        <v>0</v>
      </c>
      <c r="H33" s="313">
        <v>0</v>
      </c>
      <c r="I33" s="313">
        <v>0</v>
      </c>
      <c r="J33" s="313">
        <v>0</v>
      </c>
    </row>
    <row r="34" spans="1:10" ht="51" x14ac:dyDescent="0.25">
      <c r="A34" s="225" t="s">
        <v>231</v>
      </c>
      <c r="B34" s="229" t="str">
        <f>'таблица (всего)'!C34</f>
        <v xml:space="preserve"> «Обеспечение лекарственными препаратами, изделиями медицинского назначения и лечебным питанием отдельных групп населения Ивановской области»</v>
      </c>
      <c r="C34" s="225" t="s">
        <v>180</v>
      </c>
      <c r="D34" s="227">
        <f>D35</f>
        <v>241631922.42000002</v>
      </c>
      <c r="E34" s="227">
        <f t="shared" ref="E34:J34" si="13">E35</f>
        <v>403787620.17000002</v>
      </c>
      <c r="F34" s="313">
        <f t="shared" si="13"/>
        <v>260747600</v>
      </c>
      <c r="G34" s="313">
        <f t="shared" si="13"/>
        <v>64709800</v>
      </c>
      <c r="H34" s="313">
        <f t="shared" si="13"/>
        <v>61397500</v>
      </c>
      <c r="I34" s="313">
        <f t="shared" si="13"/>
        <v>60062800</v>
      </c>
      <c r="J34" s="313">
        <f t="shared" si="13"/>
        <v>0</v>
      </c>
    </row>
    <row r="35" spans="1:10" x14ac:dyDescent="0.25">
      <c r="A35" s="225"/>
      <c r="B35" s="226" t="s">
        <v>225</v>
      </c>
      <c r="C35" s="1085"/>
      <c r="D35" s="227">
        <f>D37</f>
        <v>241631922.42000002</v>
      </c>
      <c r="E35" s="227">
        <f t="shared" ref="E35:J35" si="14">E37</f>
        <v>403787620.17000002</v>
      </c>
      <c r="F35" s="313">
        <f t="shared" si="14"/>
        <v>260747600</v>
      </c>
      <c r="G35" s="313">
        <f t="shared" si="14"/>
        <v>64709800</v>
      </c>
      <c r="H35" s="313">
        <f t="shared" si="14"/>
        <v>61397500</v>
      </c>
      <c r="I35" s="313">
        <f t="shared" si="14"/>
        <v>60062800</v>
      </c>
      <c r="J35" s="313">
        <f t="shared" si="14"/>
        <v>0</v>
      </c>
    </row>
    <row r="36" spans="1:10" x14ac:dyDescent="0.25">
      <c r="A36" s="225"/>
      <c r="B36" s="226" t="s">
        <v>177</v>
      </c>
      <c r="C36" s="1085"/>
      <c r="D36" s="228" t="s">
        <v>227</v>
      </c>
      <c r="E36" s="228" t="s">
        <v>227</v>
      </c>
      <c r="F36" s="313">
        <v>0</v>
      </c>
      <c r="G36" s="313">
        <v>0</v>
      </c>
      <c r="H36" s="313">
        <v>0</v>
      </c>
      <c r="I36" s="313">
        <v>0</v>
      </c>
      <c r="J36" s="313">
        <v>0</v>
      </c>
    </row>
    <row r="37" spans="1:10" x14ac:dyDescent="0.25">
      <c r="A37" s="225"/>
      <c r="B37" s="226" t="s">
        <v>178</v>
      </c>
      <c r="C37" s="1085"/>
      <c r="D37" s="227">
        <f t="shared" ref="D37:J37" si="15">D41+D45+D49+D53</f>
        <v>241631922.42000002</v>
      </c>
      <c r="E37" s="227">
        <f t="shared" si="15"/>
        <v>403787620.17000002</v>
      </c>
      <c r="F37" s="313">
        <f t="shared" si="15"/>
        <v>260747600</v>
      </c>
      <c r="G37" s="313">
        <f t="shared" si="15"/>
        <v>64709800</v>
      </c>
      <c r="H37" s="313">
        <f t="shared" si="15"/>
        <v>61397500</v>
      </c>
      <c r="I37" s="313">
        <f t="shared" si="15"/>
        <v>60062800</v>
      </c>
      <c r="J37" s="313">
        <f t="shared" si="15"/>
        <v>0</v>
      </c>
    </row>
    <row r="38" spans="1:10" ht="132.75" customHeight="1" x14ac:dyDescent="0.25">
      <c r="A38" s="230" t="s">
        <v>238</v>
      </c>
      <c r="B38" s="231" t="str">
        <f>'таблица (всего)'!C35</f>
        <v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v>
      </c>
      <c r="C38" s="225" t="s">
        <v>180</v>
      </c>
      <c r="D38" s="227">
        <f>D39</f>
        <v>11626322.42</v>
      </c>
      <c r="E38" s="227">
        <f t="shared" ref="E38:J38" si="16">E39</f>
        <v>10750920.17</v>
      </c>
      <c r="F38" s="313">
        <f t="shared" si="16"/>
        <v>5607800</v>
      </c>
      <c r="G38" s="313">
        <f t="shared" si="16"/>
        <v>0</v>
      </c>
      <c r="H38" s="313">
        <f t="shared" si="16"/>
        <v>0</v>
      </c>
      <c r="I38" s="313">
        <f t="shared" si="16"/>
        <v>0</v>
      </c>
      <c r="J38" s="313">
        <f t="shared" si="16"/>
        <v>0</v>
      </c>
    </row>
    <row r="39" spans="1:10" x14ac:dyDescent="0.25">
      <c r="A39" s="225"/>
      <c r="B39" s="226" t="s">
        <v>225</v>
      </c>
      <c r="C39" s="1085"/>
      <c r="D39" s="227">
        <f>D41</f>
        <v>11626322.42</v>
      </c>
      <c r="E39" s="227">
        <f t="shared" ref="E39:J39" si="17">E41</f>
        <v>10750920.17</v>
      </c>
      <c r="F39" s="313">
        <f t="shared" si="17"/>
        <v>5607800</v>
      </c>
      <c r="G39" s="313">
        <f t="shared" si="17"/>
        <v>0</v>
      </c>
      <c r="H39" s="313">
        <f t="shared" si="17"/>
        <v>0</v>
      </c>
      <c r="I39" s="313">
        <f t="shared" si="17"/>
        <v>0</v>
      </c>
      <c r="J39" s="313">
        <f t="shared" si="17"/>
        <v>0</v>
      </c>
    </row>
    <row r="40" spans="1:10" x14ac:dyDescent="0.25">
      <c r="A40" s="225"/>
      <c r="B40" s="226" t="s">
        <v>177</v>
      </c>
      <c r="C40" s="1085"/>
      <c r="D40" s="228" t="s">
        <v>227</v>
      </c>
      <c r="E40" s="228" t="s">
        <v>227</v>
      </c>
      <c r="F40" s="313">
        <v>0</v>
      </c>
      <c r="G40" s="313">
        <v>0</v>
      </c>
      <c r="H40" s="313">
        <v>0</v>
      </c>
      <c r="I40" s="313">
        <v>0</v>
      </c>
      <c r="J40" s="313">
        <v>0</v>
      </c>
    </row>
    <row r="41" spans="1:10" x14ac:dyDescent="0.25">
      <c r="A41" s="225"/>
      <c r="B41" s="226" t="s">
        <v>178</v>
      </c>
      <c r="C41" s="1085"/>
      <c r="D41" s="227">
        <f>'таблица (всего)'!D35</f>
        <v>11626322.42</v>
      </c>
      <c r="E41" s="227">
        <f>'таблица (всего)'!E35</f>
        <v>10750920.17</v>
      </c>
      <c r="F41" s="313">
        <f>'таблица (всего)'!F35</f>
        <v>5607800</v>
      </c>
      <c r="G41" s="313">
        <f>'таблица (всего)'!G35</f>
        <v>0</v>
      </c>
      <c r="H41" s="313">
        <f>'таблица (всего)'!H35</f>
        <v>0</v>
      </c>
      <c r="I41" s="313">
        <f>'таблица (всего)'!I35</f>
        <v>0</v>
      </c>
      <c r="J41" s="313">
        <f>'таблица (всего)'!J35</f>
        <v>0</v>
      </c>
    </row>
    <row r="42" spans="1:10" ht="51" x14ac:dyDescent="0.25">
      <c r="A42" s="230" t="s">
        <v>239</v>
      </c>
      <c r="B42" s="229" t="str">
        <f>'таблица (всего)'!C36</f>
        <v>Реализация отдельных полномочий в области лекарственного обеспечения</v>
      </c>
      <c r="C42" s="225" t="s">
        <v>180</v>
      </c>
      <c r="D42" s="227">
        <f>D43</f>
        <v>81993700</v>
      </c>
      <c r="E42" s="227">
        <f t="shared" ref="E42:J42" si="18">E43</f>
        <v>98648800</v>
      </c>
      <c r="F42" s="313">
        <f t="shared" si="18"/>
        <v>75859900</v>
      </c>
      <c r="G42" s="313">
        <f t="shared" si="18"/>
        <v>64709800</v>
      </c>
      <c r="H42" s="313">
        <f t="shared" si="18"/>
        <v>61397500</v>
      </c>
      <c r="I42" s="313">
        <f t="shared" si="18"/>
        <v>60062800</v>
      </c>
      <c r="J42" s="313">
        <f t="shared" si="18"/>
        <v>0</v>
      </c>
    </row>
    <row r="43" spans="1:10" x14ac:dyDescent="0.25">
      <c r="A43" s="225"/>
      <c r="B43" s="226" t="s">
        <v>225</v>
      </c>
      <c r="C43" s="1085"/>
      <c r="D43" s="227">
        <f>D45</f>
        <v>81993700</v>
      </c>
      <c r="E43" s="227">
        <f t="shared" ref="E43:J43" si="19">E45</f>
        <v>98648800</v>
      </c>
      <c r="F43" s="313">
        <f t="shared" si="19"/>
        <v>75859900</v>
      </c>
      <c r="G43" s="313">
        <f t="shared" si="19"/>
        <v>64709800</v>
      </c>
      <c r="H43" s="313">
        <f t="shared" si="19"/>
        <v>61397500</v>
      </c>
      <c r="I43" s="313">
        <f t="shared" si="19"/>
        <v>60062800</v>
      </c>
      <c r="J43" s="313">
        <f t="shared" si="19"/>
        <v>0</v>
      </c>
    </row>
    <row r="44" spans="1:10" x14ac:dyDescent="0.25">
      <c r="A44" s="225"/>
      <c r="B44" s="226" t="s">
        <v>177</v>
      </c>
      <c r="C44" s="1085"/>
      <c r="D44" s="228" t="s">
        <v>227</v>
      </c>
      <c r="E44" s="228" t="s">
        <v>227</v>
      </c>
      <c r="F44" s="313">
        <v>0</v>
      </c>
      <c r="G44" s="313">
        <v>0</v>
      </c>
      <c r="H44" s="313">
        <v>0</v>
      </c>
      <c r="I44" s="313">
        <v>0</v>
      </c>
      <c r="J44" s="313">
        <v>0</v>
      </c>
    </row>
    <row r="45" spans="1:10" x14ac:dyDescent="0.25">
      <c r="A45" s="225"/>
      <c r="B45" s="226" t="s">
        <v>178</v>
      </c>
      <c r="C45" s="1085"/>
      <c r="D45" s="227">
        <f>'таблица (всего)'!D36</f>
        <v>81993700</v>
      </c>
      <c r="E45" s="227">
        <f>'таблица (всего)'!E36</f>
        <v>98648800</v>
      </c>
      <c r="F45" s="313">
        <f>'таблица (всего)'!F36</f>
        <v>75859900</v>
      </c>
      <c r="G45" s="313">
        <f>'таблица (всего)'!G36</f>
        <v>64709800</v>
      </c>
      <c r="H45" s="313">
        <f>'таблица (всего)'!H36</f>
        <v>61397500</v>
      </c>
      <c r="I45" s="313">
        <f>'таблица (всего)'!I36</f>
        <v>60062800</v>
      </c>
      <c r="J45" s="313">
        <f>'таблица (всего)'!J36</f>
        <v>0</v>
      </c>
    </row>
    <row r="46" spans="1:10" ht="120.75" customHeight="1" x14ac:dyDescent="0.25">
      <c r="A46" s="230" t="s">
        <v>240</v>
      </c>
      <c r="B46" s="229" t="str">
        <f>'таблица (всего)'!C37</f>
        <v xml:space="preserve">Оказание отдельным категориям граждан государственной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</v>
      </c>
      <c r="C46" s="225" t="s">
        <v>180</v>
      </c>
      <c r="D46" s="227">
        <f>D47</f>
        <v>148011900</v>
      </c>
      <c r="E46" s="227">
        <f t="shared" ref="E46:J46" si="20">E47</f>
        <v>175391900</v>
      </c>
      <c r="F46" s="227">
        <f t="shared" si="20"/>
        <v>179279900</v>
      </c>
      <c r="G46" s="227">
        <f t="shared" si="20"/>
        <v>0</v>
      </c>
      <c r="H46" s="227">
        <f t="shared" si="20"/>
        <v>0</v>
      </c>
      <c r="I46" s="227">
        <f t="shared" si="20"/>
        <v>0</v>
      </c>
      <c r="J46" s="227">
        <f t="shared" si="20"/>
        <v>0</v>
      </c>
    </row>
    <row r="47" spans="1:10" x14ac:dyDescent="0.25">
      <c r="A47" s="225"/>
      <c r="B47" s="226" t="s">
        <v>225</v>
      </c>
      <c r="C47" s="1085"/>
      <c r="D47" s="227">
        <f>D49</f>
        <v>148011900</v>
      </c>
      <c r="E47" s="227">
        <f t="shared" ref="E47:J47" si="21">E49</f>
        <v>175391900</v>
      </c>
      <c r="F47" s="227">
        <f t="shared" si="21"/>
        <v>179279900</v>
      </c>
      <c r="G47" s="227">
        <f t="shared" si="21"/>
        <v>0</v>
      </c>
      <c r="H47" s="227">
        <f t="shared" si="21"/>
        <v>0</v>
      </c>
      <c r="I47" s="227">
        <f t="shared" si="21"/>
        <v>0</v>
      </c>
      <c r="J47" s="227">
        <f t="shared" si="21"/>
        <v>0</v>
      </c>
    </row>
    <row r="48" spans="1:10" x14ac:dyDescent="0.25">
      <c r="A48" s="225"/>
      <c r="B48" s="226" t="s">
        <v>177</v>
      </c>
      <c r="C48" s="1085"/>
      <c r="D48" s="228" t="s">
        <v>227</v>
      </c>
      <c r="E48" s="228" t="s">
        <v>227</v>
      </c>
      <c r="F48" s="228" t="s">
        <v>227</v>
      </c>
      <c r="G48" s="228" t="s">
        <v>227</v>
      </c>
      <c r="H48" s="228" t="s">
        <v>227</v>
      </c>
      <c r="I48" s="228" t="s">
        <v>227</v>
      </c>
      <c r="J48" s="228" t="s">
        <v>227</v>
      </c>
    </row>
    <row r="49" spans="1:10" x14ac:dyDescent="0.25">
      <c r="A49" s="225"/>
      <c r="B49" s="226" t="s">
        <v>178</v>
      </c>
      <c r="C49" s="1085"/>
      <c r="D49" s="227">
        <f>'таблица (всего)'!D37</f>
        <v>148011900</v>
      </c>
      <c r="E49" s="227">
        <f>'таблица (всего)'!E37</f>
        <v>175391900</v>
      </c>
      <c r="F49" s="227">
        <f>'таблица (всего)'!F37</f>
        <v>179279900</v>
      </c>
      <c r="G49" s="227">
        <f>'таблица (всего)'!G37</f>
        <v>0</v>
      </c>
      <c r="H49" s="227">
        <f>'таблица (всего)'!H37</f>
        <v>0</v>
      </c>
      <c r="I49" s="227">
        <f>'таблица (всего)'!I37</f>
        <v>0</v>
      </c>
      <c r="J49" s="227">
        <f>'таблица (всего)'!J37</f>
        <v>0</v>
      </c>
    </row>
    <row r="50" spans="1:10" ht="54" hidden="1" customHeight="1" x14ac:dyDescent="0.25">
      <c r="A50" s="230" t="s">
        <v>241</v>
      </c>
      <c r="B50" s="229" t="str">
        <f>'таблица (всего)'!C38</f>
        <v>Улучшение лекарственного обеспечения граждан</v>
      </c>
      <c r="C50" s="225" t="s">
        <v>180</v>
      </c>
      <c r="D50" s="227">
        <f>D51</f>
        <v>0</v>
      </c>
      <c r="E50" s="227">
        <f t="shared" ref="E50:J50" si="22">E51</f>
        <v>118996000</v>
      </c>
      <c r="F50" s="227">
        <f t="shared" si="22"/>
        <v>0</v>
      </c>
      <c r="G50" s="227">
        <f t="shared" si="22"/>
        <v>0</v>
      </c>
      <c r="H50" s="227">
        <f t="shared" si="22"/>
        <v>0</v>
      </c>
      <c r="I50" s="227">
        <f t="shared" si="22"/>
        <v>0</v>
      </c>
      <c r="J50" s="227">
        <f t="shared" si="22"/>
        <v>0</v>
      </c>
    </row>
    <row r="51" spans="1:10" hidden="1" x14ac:dyDescent="0.25">
      <c r="A51" s="225"/>
      <c r="B51" s="226" t="s">
        <v>225</v>
      </c>
      <c r="C51" s="1085"/>
      <c r="D51" s="227">
        <f>D53</f>
        <v>0</v>
      </c>
      <c r="E51" s="227">
        <f t="shared" ref="E51:J51" si="23">E53</f>
        <v>118996000</v>
      </c>
      <c r="F51" s="227">
        <f t="shared" si="23"/>
        <v>0</v>
      </c>
      <c r="G51" s="227">
        <f t="shared" si="23"/>
        <v>0</v>
      </c>
      <c r="H51" s="227">
        <f t="shared" si="23"/>
        <v>0</v>
      </c>
      <c r="I51" s="227">
        <f t="shared" si="23"/>
        <v>0</v>
      </c>
      <c r="J51" s="227">
        <f t="shared" si="23"/>
        <v>0</v>
      </c>
    </row>
    <row r="52" spans="1:10" hidden="1" x14ac:dyDescent="0.25">
      <c r="A52" s="225"/>
      <c r="B52" s="226" t="s">
        <v>177</v>
      </c>
      <c r="C52" s="1085"/>
      <c r="D52" s="228" t="s">
        <v>227</v>
      </c>
      <c r="E52" s="228" t="s">
        <v>227</v>
      </c>
      <c r="F52" s="228" t="s">
        <v>227</v>
      </c>
      <c r="G52" s="228" t="s">
        <v>227</v>
      </c>
      <c r="H52" s="228" t="s">
        <v>227</v>
      </c>
      <c r="I52" s="228" t="s">
        <v>227</v>
      </c>
      <c r="J52" s="228" t="s">
        <v>227</v>
      </c>
    </row>
    <row r="53" spans="1:10" hidden="1" x14ac:dyDescent="0.25">
      <c r="A53" s="225"/>
      <c r="B53" s="226" t="s">
        <v>178</v>
      </c>
      <c r="C53" s="1085"/>
      <c r="D53" s="227">
        <f>'таблица (всего)'!D38</f>
        <v>0</v>
      </c>
      <c r="E53" s="227">
        <f>'таблица (всего)'!E38</f>
        <v>118996000</v>
      </c>
      <c r="F53" s="227">
        <f>'таблица (всего)'!F38</f>
        <v>0</v>
      </c>
      <c r="G53" s="227">
        <f>'таблица (всего)'!G38</f>
        <v>0</v>
      </c>
      <c r="H53" s="227">
        <f>'таблица (всего)'!H38</f>
        <v>0</v>
      </c>
      <c r="I53" s="227">
        <f>'таблица (всего)'!I38</f>
        <v>0</v>
      </c>
      <c r="J53" s="227">
        <f>'таблица (всего)'!J38</f>
        <v>0</v>
      </c>
    </row>
    <row r="54" spans="1:10" ht="51" hidden="1" x14ac:dyDescent="0.25">
      <c r="A54" s="225" t="s">
        <v>232</v>
      </c>
      <c r="B54" s="226" t="str">
        <f>'таблица (всего)'!C39</f>
        <v>«Обеспечение бесперебойного и своевременного оказания скорой медицинской помощи на территории Ивановской области»</v>
      </c>
      <c r="C54" s="225" t="s">
        <v>180</v>
      </c>
      <c r="D54" s="227">
        <f>D55</f>
        <v>361351300</v>
      </c>
      <c r="E54" s="227">
        <f t="shared" ref="E54:J55" si="24">E55</f>
        <v>0</v>
      </c>
      <c r="F54" s="227">
        <f t="shared" si="24"/>
        <v>0</v>
      </c>
      <c r="G54" s="227">
        <f t="shared" si="24"/>
        <v>0</v>
      </c>
      <c r="H54" s="227">
        <f t="shared" si="24"/>
        <v>0</v>
      </c>
      <c r="I54" s="227">
        <f t="shared" si="24"/>
        <v>0</v>
      </c>
      <c r="J54" s="227">
        <f t="shared" si="24"/>
        <v>0</v>
      </c>
    </row>
    <row r="55" spans="1:10" hidden="1" x14ac:dyDescent="0.25">
      <c r="A55" s="225"/>
      <c r="B55" s="226" t="s">
        <v>225</v>
      </c>
      <c r="C55" s="1085"/>
      <c r="D55" s="227">
        <f>D56</f>
        <v>361351300</v>
      </c>
      <c r="E55" s="227">
        <f t="shared" si="24"/>
        <v>0</v>
      </c>
      <c r="F55" s="227">
        <f t="shared" si="24"/>
        <v>0</v>
      </c>
      <c r="G55" s="227">
        <f t="shared" si="24"/>
        <v>0</v>
      </c>
      <c r="H55" s="227">
        <f t="shared" si="24"/>
        <v>0</v>
      </c>
      <c r="I55" s="227">
        <f t="shared" si="24"/>
        <v>0</v>
      </c>
      <c r="J55" s="227">
        <f t="shared" si="24"/>
        <v>0</v>
      </c>
    </row>
    <row r="56" spans="1:10" hidden="1" x14ac:dyDescent="0.25">
      <c r="A56" s="225"/>
      <c r="B56" s="226" t="s">
        <v>177</v>
      </c>
      <c r="C56" s="1085"/>
      <c r="D56" s="227">
        <f t="shared" ref="D56:J56" si="25">D60+D64</f>
        <v>361351300</v>
      </c>
      <c r="E56" s="227">
        <f t="shared" si="25"/>
        <v>0</v>
      </c>
      <c r="F56" s="227">
        <f t="shared" si="25"/>
        <v>0</v>
      </c>
      <c r="G56" s="227">
        <f t="shared" si="25"/>
        <v>0</v>
      </c>
      <c r="H56" s="227">
        <f t="shared" si="25"/>
        <v>0</v>
      </c>
      <c r="I56" s="227">
        <f t="shared" si="25"/>
        <v>0</v>
      </c>
      <c r="J56" s="227">
        <f t="shared" si="25"/>
        <v>0</v>
      </c>
    </row>
    <row r="57" spans="1:10" hidden="1" x14ac:dyDescent="0.25">
      <c r="A57" s="225"/>
      <c r="B57" s="226" t="s">
        <v>178</v>
      </c>
      <c r="C57" s="1085"/>
      <c r="D57" s="228" t="s">
        <v>227</v>
      </c>
      <c r="E57" s="228" t="s">
        <v>227</v>
      </c>
      <c r="F57" s="228" t="s">
        <v>227</v>
      </c>
      <c r="G57" s="228" t="s">
        <v>227</v>
      </c>
      <c r="H57" s="228" t="s">
        <v>227</v>
      </c>
      <c r="I57" s="228" t="s">
        <v>227</v>
      </c>
      <c r="J57" s="228" t="s">
        <v>227</v>
      </c>
    </row>
    <row r="58" spans="1:10" ht="127.5" hidden="1" x14ac:dyDescent="0.25">
      <c r="A58" s="230" t="s">
        <v>242</v>
      </c>
      <c r="B58" s="226" t="str">
        <f>'таблица (всего)'!C40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в части базовой программы обязательного медицинского страхования
</v>
      </c>
      <c r="C58" s="225" t="s">
        <v>180</v>
      </c>
      <c r="D58" s="227">
        <f>D59</f>
        <v>331685200</v>
      </c>
      <c r="E58" s="227">
        <f t="shared" ref="E58:J59" si="26">E59</f>
        <v>0</v>
      </c>
      <c r="F58" s="227">
        <f t="shared" si="26"/>
        <v>0</v>
      </c>
      <c r="G58" s="227">
        <f t="shared" si="26"/>
        <v>0</v>
      </c>
      <c r="H58" s="227">
        <f t="shared" si="26"/>
        <v>0</v>
      </c>
      <c r="I58" s="227">
        <f t="shared" si="26"/>
        <v>0</v>
      </c>
      <c r="J58" s="227">
        <f t="shared" si="26"/>
        <v>0</v>
      </c>
    </row>
    <row r="59" spans="1:10" hidden="1" x14ac:dyDescent="0.25">
      <c r="A59" s="225"/>
      <c r="B59" s="226" t="s">
        <v>225</v>
      </c>
      <c r="C59" s="1085"/>
      <c r="D59" s="227">
        <f>D60</f>
        <v>331685200</v>
      </c>
      <c r="E59" s="227">
        <f t="shared" si="26"/>
        <v>0</v>
      </c>
      <c r="F59" s="227">
        <f t="shared" si="26"/>
        <v>0</v>
      </c>
      <c r="G59" s="227">
        <f t="shared" si="26"/>
        <v>0</v>
      </c>
      <c r="H59" s="227">
        <f t="shared" si="26"/>
        <v>0</v>
      </c>
      <c r="I59" s="227">
        <f t="shared" si="26"/>
        <v>0</v>
      </c>
      <c r="J59" s="227">
        <f t="shared" si="26"/>
        <v>0</v>
      </c>
    </row>
    <row r="60" spans="1:10" hidden="1" x14ac:dyDescent="0.25">
      <c r="A60" s="225"/>
      <c r="B60" s="226" t="s">
        <v>177</v>
      </c>
      <c r="C60" s="1085"/>
      <c r="D60" s="227">
        <f>'таблица (всего)'!D40</f>
        <v>331685200</v>
      </c>
      <c r="E60" s="227">
        <f>'таблица (всего)'!E40</f>
        <v>0</v>
      </c>
      <c r="F60" s="227">
        <f>'таблица (всего)'!F40</f>
        <v>0</v>
      </c>
      <c r="G60" s="227">
        <f>'таблица (всего)'!G40</f>
        <v>0</v>
      </c>
      <c r="H60" s="227">
        <f>'таблица (всего)'!H40</f>
        <v>0</v>
      </c>
      <c r="I60" s="227">
        <f>'таблица (всего)'!I40</f>
        <v>0</v>
      </c>
      <c r="J60" s="227">
        <f>'таблица (всего)'!J40</f>
        <v>0</v>
      </c>
    </row>
    <row r="61" spans="1:10" hidden="1" x14ac:dyDescent="0.25">
      <c r="A61" s="225"/>
      <c r="B61" s="226" t="s">
        <v>178</v>
      </c>
      <c r="C61" s="1085"/>
      <c r="D61" s="228" t="s">
        <v>227</v>
      </c>
      <c r="E61" s="228" t="s">
        <v>227</v>
      </c>
      <c r="F61" s="228" t="s">
        <v>227</v>
      </c>
      <c r="G61" s="228" t="s">
        <v>227</v>
      </c>
      <c r="H61" s="228" t="s">
        <v>227</v>
      </c>
      <c r="I61" s="228" t="s">
        <v>227</v>
      </c>
      <c r="J61" s="228" t="s">
        <v>227</v>
      </c>
    </row>
    <row r="62" spans="1:10" ht="127.5" hidden="1" x14ac:dyDescent="0.25">
      <c r="A62" s="230" t="s">
        <v>243</v>
      </c>
      <c r="B62" s="226" t="str">
        <f>'таблица (всего)'!C41</f>
        <v xml:space="preserve">Иной межбюджетный трансферт бюджету территориального фонда обязательного медицинского страхования Ивановской области на финансовое обеспечение скорой медицинской помощи (за исключением специализированной (санитарно-авиационной) скорой медицинской помощи) сверх базовой программы обязательного медицинского страхования
</v>
      </c>
      <c r="C62" s="225" t="s">
        <v>180</v>
      </c>
      <c r="D62" s="227">
        <f>D63</f>
        <v>29666100</v>
      </c>
      <c r="E62" s="227">
        <f t="shared" ref="E62:J63" si="27">E63</f>
        <v>0</v>
      </c>
      <c r="F62" s="227">
        <f t="shared" si="27"/>
        <v>0</v>
      </c>
      <c r="G62" s="227">
        <f t="shared" si="27"/>
        <v>0</v>
      </c>
      <c r="H62" s="227">
        <f t="shared" si="27"/>
        <v>0</v>
      </c>
      <c r="I62" s="227">
        <f t="shared" si="27"/>
        <v>0</v>
      </c>
      <c r="J62" s="227">
        <f t="shared" si="27"/>
        <v>0</v>
      </c>
    </row>
    <row r="63" spans="1:10" hidden="1" x14ac:dyDescent="0.25">
      <c r="A63" s="225"/>
      <c r="B63" s="226" t="s">
        <v>225</v>
      </c>
      <c r="C63" s="1085"/>
      <c r="D63" s="227">
        <f>D64</f>
        <v>29666100</v>
      </c>
      <c r="E63" s="227">
        <f t="shared" si="27"/>
        <v>0</v>
      </c>
      <c r="F63" s="227">
        <f t="shared" si="27"/>
        <v>0</v>
      </c>
      <c r="G63" s="227">
        <f t="shared" si="27"/>
        <v>0</v>
      </c>
      <c r="H63" s="227">
        <f t="shared" si="27"/>
        <v>0</v>
      </c>
      <c r="I63" s="227">
        <f t="shared" si="27"/>
        <v>0</v>
      </c>
      <c r="J63" s="227">
        <f t="shared" si="27"/>
        <v>0</v>
      </c>
    </row>
    <row r="64" spans="1:10" hidden="1" x14ac:dyDescent="0.25">
      <c r="A64" s="225"/>
      <c r="B64" s="226" t="s">
        <v>177</v>
      </c>
      <c r="C64" s="1085"/>
      <c r="D64" s="227">
        <f>'таблица (всего)'!D41</f>
        <v>29666100</v>
      </c>
      <c r="E64" s="227">
        <f>'таблица (всего)'!E41</f>
        <v>0</v>
      </c>
      <c r="F64" s="227">
        <f>'таблица (всего)'!F41</f>
        <v>0</v>
      </c>
      <c r="G64" s="227">
        <f>'таблица (всего)'!G41</f>
        <v>0</v>
      </c>
      <c r="H64" s="227">
        <f>'таблица (всего)'!H41</f>
        <v>0</v>
      </c>
      <c r="I64" s="227">
        <f>'таблица (всего)'!I41</f>
        <v>0</v>
      </c>
      <c r="J64" s="227">
        <f>'таблица (всего)'!J41</f>
        <v>0</v>
      </c>
    </row>
    <row r="65" spans="1:10" hidden="1" x14ac:dyDescent="0.25">
      <c r="A65" s="225"/>
      <c r="B65" s="226" t="s">
        <v>178</v>
      </c>
      <c r="C65" s="1085"/>
      <c r="D65" s="228" t="s">
        <v>227</v>
      </c>
      <c r="E65" s="228" t="s">
        <v>227</v>
      </c>
      <c r="F65" s="228" t="s">
        <v>227</v>
      </c>
      <c r="G65" s="228" t="s">
        <v>227</v>
      </c>
      <c r="H65" s="228" t="s">
        <v>227</v>
      </c>
      <c r="I65" s="228" t="s">
        <v>227</v>
      </c>
      <c r="J65" s="228" t="s">
        <v>227</v>
      </c>
    </row>
    <row r="66" spans="1:10" ht="51" hidden="1" x14ac:dyDescent="0.25">
      <c r="A66" s="225" t="s">
        <v>233</v>
      </c>
      <c r="B66" s="229" t="str">
        <f>'таблица (всего)'!C42</f>
        <v xml:space="preserve">«Обеспечение лекарственными препаратами во исполнение судебных актов» </v>
      </c>
      <c r="C66" s="225" t="s">
        <v>180</v>
      </c>
      <c r="D66" s="227">
        <f>D67</f>
        <v>32998000</v>
      </c>
      <c r="E66" s="227">
        <f t="shared" ref="E66:J67" si="28">E67</f>
        <v>0</v>
      </c>
      <c r="F66" s="227">
        <f t="shared" si="28"/>
        <v>0</v>
      </c>
      <c r="G66" s="227">
        <f t="shared" si="28"/>
        <v>0</v>
      </c>
      <c r="H66" s="227">
        <f t="shared" si="28"/>
        <v>0</v>
      </c>
      <c r="I66" s="227">
        <f t="shared" si="28"/>
        <v>0</v>
      </c>
      <c r="J66" s="227">
        <f t="shared" si="28"/>
        <v>0</v>
      </c>
    </row>
    <row r="67" spans="1:10" hidden="1" x14ac:dyDescent="0.25">
      <c r="A67" s="225"/>
      <c r="B67" s="226" t="s">
        <v>225</v>
      </c>
      <c r="C67" s="1085"/>
      <c r="D67" s="227">
        <f>D68</f>
        <v>32998000</v>
      </c>
      <c r="E67" s="227">
        <f t="shared" si="28"/>
        <v>0</v>
      </c>
      <c r="F67" s="227">
        <f t="shared" si="28"/>
        <v>0</v>
      </c>
      <c r="G67" s="227">
        <f t="shared" si="28"/>
        <v>0</v>
      </c>
      <c r="H67" s="227">
        <f t="shared" si="28"/>
        <v>0</v>
      </c>
      <c r="I67" s="227">
        <f t="shared" si="28"/>
        <v>0</v>
      </c>
      <c r="J67" s="227">
        <f t="shared" si="28"/>
        <v>0</v>
      </c>
    </row>
    <row r="68" spans="1:10" hidden="1" x14ac:dyDescent="0.25">
      <c r="A68" s="225"/>
      <c r="B68" s="226" t="s">
        <v>177</v>
      </c>
      <c r="C68" s="1085"/>
      <c r="D68" s="227">
        <f>D72</f>
        <v>32998000</v>
      </c>
      <c r="E68" s="227">
        <f t="shared" ref="E68:J68" si="29">E72</f>
        <v>0</v>
      </c>
      <c r="F68" s="227">
        <f t="shared" si="29"/>
        <v>0</v>
      </c>
      <c r="G68" s="227">
        <f t="shared" si="29"/>
        <v>0</v>
      </c>
      <c r="H68" s="227">
        <f t="shared" si="29"/>
        <v>0</v>
      </c>
      <c r="I68" s="227">
        <f t="shared" si="29"/>
        <v>0</v>
      </c>
      <c r="J68" s="227">
        <f t="shared" si="29"/>
        <v>0</v>
      </c>
    </row>
    <row r="69" spans="1:10" hidden="1" x14ac:dyDescent="0.25">
      <c r="A69" s="225"/>
      <c r="B69" s="226" t="s">
        <v>178</v>
      </c>
      <c r="C69" s="1085"/>
      <c r="D69" s="228" t="s">
        <v>227</v>
      </c>
      <c r="E69" s="228" t="s">
        <v>227</v>
      </c>
      <c r="F69" s="228" t="s">
        <v>227</v>
      </c>
      <c r="G69" s="228" t="s">
        <v>227</v>
      </c>
      <c r="H69" s="228" t="s">
        <v>227</v>
      </c>
      <c r="I69" s="228" t="s">
        <v>227</v>
      </c>
      <c r="J69" s="228" t="s">
        <v>227</v>
      </c>
    </row>
    <row r="70" spans="1:10" ht="89.25" hidden="1" x14ac:dyDescent="0.25">
      <c r="A70" s="230" t="s">
        <v>244</v>
      </c>
      <c r="B70" s="229" t="str">
        <f>'таблица (всего)'!C43</f>
        <v xml:space="preserve">Проведение мероприятий по организации приобретения и выдачи соответствующих лекарственных препаратов, изделий медицинского назначения, лечебного питания для лечения в государственных учреждениях здравоохранения
</v>
      </c>
      <c r="C70" s="225" t="s">
        <v>180</v>
      </c>
      <c r="D70" s="227">
        <f>D71</f>
        <v>32998000</v>
      </c>
      <c r="E70" s="227">
        <f t="shared" ref="E70:J71" si="30">E71</f>
        <v>0</v>
      </c>
      <c r="F70" s="227">
        <f t="shared" si="30"/>
        <v>0</v>
      </c>
      <c r="G70" s="227">
        <f t="shared" si="30"/>
        <v>0</v>
      </c>
      <c r="H70" s="227">
        <f t="shared" si="30"/>
        <v>0</v>
      </c>
      <c r="I70" s="227">
        <f t="shared" si="30"/>
        <v>0</v>
      </c>
      <c r="J70" s="227">
        <f t="shared" si="30"/>
        <v>0</v>
      </c>
    </row>
    <row r="71" spans="1:10" hidden="1" x14ac:dyDescent="0.25">
      <c r="A71" s="225"/>
      <c r="B71" s="226" t="s">
        <v>225</v>
      </c>
      <c r="C71" s="1085"/>
      <c r="D71" s="227">
        <f>D72</f>
        <v>32998000</v>
      </c>
      <c r="E71" s="227">
        <f t="shared" si="30"/>
        <v>0</v>
      </c>
      <c r="F71" s="227">
        <f t="shared" si="30"/>
        <v>0</v>
      </c>
      <c r="G71" s="227">
        <f t="shared" si="30"/>
        <v>0</v>
      </c>
      <c r="H71" s="227">
        <f t="shared" si="30"/>
        <v>0</v>
      </c>
      <c r="I71" s="227">
        <f t="shared" si="30"/>
        <v>0</v>
      </c>
      <c r="J71" s="227">
        <f t="shared" si="30"/>
        <v>0</v>
      </c>
    </row>
    <row r="72" spans="1:10" hidden="1" x14ac:dyDescent="0.25">
      <c r="A72" s="225"/>
      <c r="B72" s="226" t="s">
        <v>177</v>
      </c>
      <c r="C72" s="1085"/>
      <c r="D72" s="227">
        <f>'таблица (всего)'!D43</f>
        <v>32998000</v>
      </c>
      <c r="E72" s="227">
        <f>'таблица (всего)'!E43</f>
        <v>0</v>
      </c>
      <c r="F72" s="227">
        <f>'таблица (всего)'!F43</f>
        <v>0</v>
      </c>
      <c r="G72" s="227">
        <f>'таблица (всего)'!G43</f>
        <v>0</v>
      </c>
      <c r="H72" s="227">
        <f>'таблица (всего)'!H43</f>
        <v>0</v>
      </c>
      <c r="I72" s="227">
        <f>'таблица (всего)'!I43</f>
        <v>0</v>
      </c>
      <c r="J72" s="227">
        <f>'таблица (всего)'!J43</f>
        <v>0</v>
      </c>
    </row>
    <row r="73" spans="1:10" hidden="1" x14ac:dyDescent="0.25">
      <c r="A73" s="225"/>
      <c r="B73" s="226" t="s">
        <v>178</v>
      </c>
      <c r="C73" s="1085"/>
      <c r="D73" s="228" t="s">
        <v>227</v>
      </c>
      <c r="E73" s="228" t="s">
        <v>227</v>
      </c>
      <c r="F73" s="228" t="s">
        <v>227</v>
      </c>
      <c r="G73" s="228" t="s">
        <v>227</v>
      </c>
      <c r="H73" s="228" t="s">
        <v>227</v>
      </c>
      <c r="I73" s="228" t="s">
        <v>227</v>
      </c>
      <c r="J73" s="228" t="s">
        <v>227</v>
      </c>
    </row>
  </sheetData>
  <mergeCells count="19">
    <mergeCell ref="C67:C69"/>
    <mergeCell ref="C71:C73"/>
    <mergeCell ref="C19:C21"/>
    <mergeCell ref="C31:C33"/>
    <mergeCell ref="C35:C37"/>
    <mergeCell ref="C39:C41"/>
    <mergeCell ref="C43:C45"/>
    <mergeCell ref="C27:C29"/>
    <mergeCell ref="C47:C49"/>
    <mergeCell ref="C51:C53"/>
    <mergeCell ref="C55:C57"/>
    <mergeCell ref="I1:J1"/>
    <mergeCell ref="C7:C9"/>
    <mergeCell ref="C11:C13"/>
    <mergeCell ref="C59:C61"/>
    <mergeCell ref="C63:C65"/>
    <mergeCell ref="A2:J2"/>
    <mergeCell ref="A3:J3"/>
    <mergeCell ref="C15:C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7"/>
  <sheetViews>
    <sheetView topLeftCell="A13" zoomScale="90" zoomScaleNormal="90" workbookViewId="0">
      <selection activeCell="H10" sqref="H10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6.7109375" style="77" hidden="1" customWidth="1"/>
    <col min="6" max="6" width="16.7109375" style="77" customWidth="1"/>
    <col min="7" max="10" width="16.7109375" customWidth="1"/>
  </cols>
  <sheetData>
    <row r="1" spans="1:17" ht="92.25" customHeight="1" x14ac:dyDescent="0.25">
      <c r="A1" s="232"/>
      <c r="C1" s="232"/>
      <c r="D1" s="235"/>
      <c r="E1" s="218"/>
      <c r="F1" s="218"/>
      <c r="G1" s="236"/>
      <c r="H1" s="236"/>
      <c r="I1" s="1086" t="s">
        <v>183</v>
      </c>
      <c r="J1" s="1086"/>
    </row>
    <row r="2" spans="1:17" ht="24.75" customHeight="1" x14ac:dyDescent="0.25">
      <c r="A2" s="1087" t="s">
        <v>184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20"/>
      <c r="C4" s="233"/>
      <c r="D4" s="233"/>
      <c r="E4" s="233"/>
      <c r="F4" s="235"/>
      <c r="G4" s="236"/>
      <c r="H4" s="236"/>
      <c r="I4" s="236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37"/>
      <c r="D6" s="227">
        <f>D7</f>
        <v>1057835667.34</v>
      </c>
      <c r="E6" s="227">
        <f t="shared" ref="E6:J6" si="0">E7</f>
        <v>821524363.00999999</v>
      </c>
      <c r="F6" s="313">
        <f t="shared" si="0"/>
        <v>810146866.33000004</v>
      </c>
      <c r="G6" s="313">
        <f t="shared" si="0"/>
        <v>533072468.30000001</v>
      </c>
      <c r="H6" s="313">
        <f t="shared" si="0"/>
        <v>533220078.19</v>
      </c>
      <c r="I6" s="313">
        <f t="shared" si="0"/>
        <v>533269174.81999999</v>
      </c>
      <c r="J6" s="313">
        <f t="shared" si="0"/>
        <v>535484480.31</v>
      </c>
      <c r="K6" s="222">
        <f>D6-'таблица (всего)'!D44</f>
        <v>0</v>
      </c>
      <c r="L6" s="222">
        <f>E6-'таблица (всего)'!E44</f>
        <v>0</v>
      </c>
      <c r="M6" s="222">
        <f>F6-'таблица (всего)'!F44</f>
        <v>-399999.99999988079</v>
      </c>
      <c r="N6" s="222">
        <f>G6-'таблица (всего)'!G44</f>
        <v>-26801758.23999995</v>
      </c>
      <c r="O6" s="222">
        <f>H6-'таблица (всего)'!H44</f>
        <v>-25161648.349999964</v>
      </c>
      <c r="P6" s="222">
        <f>I6-'таблица (всего)'!I44</f>
        <v>-24614505.48999995</v>
      </c>
      <c r="Q6" s="222">
        <f>J6-'таблица (всего)'!J44</f>
        <v>0</v>
      </c>
    </row>
    <row r="7" spans="1:17" x14ac:dyDescent="0.25">
      <c r="A7" s="225"/>
      <c r="B7" s="226" t="s">
        <v>225</v>
      </c>
      <c r="C7" s="1090"/>
      <c r="D7" s="227">
        <f>D8+D9</f>
        <v>1057835667.34</v>
      </c>
      <c r="E7" s="227">
        <f t="shared" ref="E7:J7" si="1">E8+E9</f>
        <v>821524363.00999999</v>
      </c>
      <c r="F7" s="313">
        <f t="shared" si="1"/>
        <v>810146866.33000004</v>
      </c>
      <c r="G7" s="313">
        <f t="shared" si="1"/>
        <v>533072468.30000001</v>
      </c>
      <c r="H7" s="313">
        <f t="shared" si="1"/>
        <v>533220078.19</v>
      </c>
      <c r="I7" s="313">
        <f t="shared" si="1"/>
        <v>533269174.81999999</v>
      </c>
      <c r="J7" s="313">
        <f t="shared" si="1"/>
        <v>535484480.31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90"/>
      <c r="D8" s="227">
        <f t="shared" ref="D8:J8" si="2">D12+D60</f>
        <v>784716700</v>
      </c>
      <c r="E8" s="227">
        <f t="shared" si="2"/>
        <v>590321463.00999999</v>
      </c>
      <c r="F8" s="313">
        <f t="shared" si="2"/>
        <v>605937766.33000004</v>
      </c>
      <c r="G8" s="313">
        <f t="shared" si="2"/>
        <v>533072468.30000001</v>
      </c>
      <c r="H8" s="313">
        <f t="shared" si="2"/>
        <v>533220078.19</v>
      </c>
      <c r="I8" s="313">
        <f t="shared" si="2"/>
        <v>533269174.81999999</v>
      </c>
      <c r="J8" s="313">
        <f t="shared" si="2"/>
        <v>535484480.31</v>
      </c>
      <c r="K8" s="222">
        <f>D8-'таблица (всего)'!D46</f>
        <v>0</v>
      </c>
      <c r="L8" s="222">
        <f>E8-'таблица (всего)'!E46</f>
        <v>0</v>
      </c>
      <c r="M8" s="222">
        <f>F8-'таблица (всего)'!F46</f>
        <v>-399999.99999988079</v>
      </c>
      <c r="N8" s="222">
        <f>G8-'таблица (всего)'!G46</f>
        <v>-2412158.2399999499</v>
      </c>
      <c r="O8" s="222">
        <f>H8-'таблица (всего)'!H46</f>
        <v>-2264548.3499999642</v>
      </c>
      <c r="P8" s="222">
        <f>I8-'таблица (всего)'!I46</f>
        <v>-2215305.4899999499</v>
      </c>
      <c r="Q8" s="222">
        <f>J8-'таблица (всего)'!J46</f>
        <v>0</v>
      </c>
    </row>
    <row r="9" spans="1:17" x14ac:dyDescent="0.25">
      <c r="A9" s="225"/>
      <c r="B9" s="226" t="s">
        <v>178</v>
      </c>
      <c r="C9" s="1090"/>
      <c r="D9" s="227">
        <f t="shared" ref="D9:J9" si="3">D13+D53+D61</f>
        <v>273118967.34000003</v>
      </c>
      <c r="E9" s="227">
        <f t="shared" si="3"/>
        <v>231202900</v>
      </c>
      <c r="F9" s="313">
        <f t="shared" si="3"/>
        <v>204209100</v>
      </c>
      <c r="G9" s="313">
        <f t="shared" si="3"/>
        <v>0</v>
      </c>
      <c r="H9" s="313">
        <f t="shared" si="3"/>
        <v>0</v>
      </c>
      <c r="I9" s="313">
        <f t="shared" si="3"/>
        <v>0</v>
      </c>
      <c r="J9" s="313">
        <f t="shared" si="3"/>
        <v>0</v>
      </c>
      <c r="K9" s="222">
        <f>D9-'таблица (всего)'!D45</f>
        <v>0</v>
      </c>
      <c r="L9" s="222">
        <f>E9-'таблица (всего)'!E45</f>
        <v>0</v>
      </c>
      <c r="M9" s="222">
        <f>F9-'таблица (всего)'!F45</f>
        <v>0</v>
      </c>
      <c r="N9" s="222">
        <f>G9-'таблица (всего)'!G45</f>
        <v>-24389600</v>
      </c>
      <c r="O9" s="222">
        <f>H9-'таблица (всего)'!H45</f>
        <v>-22897100</v>
      </c>
      <c r="P9" s="222">
        <f>I9-'таблица (всего)'!I45</f>
        <v>-22399200</v>
      </c>
      <c r="Q9" s="222">
        <f>J9-'таблица (всего)'!J45</f>
        <v>0</v>
      </c>
    </row>
    <row r="10" spans="1:17" ht="51" x14ac:dyDescent="0.25">
      <c r="A10" s="225" t="s">
        <v>228</v>
      </c>
      <c r="B10" s="229" t="str">
        <f>'таблица (всего)'!C47</f>
        <v>«Специализированная медицинская помощь»</v>
      </c>
      <c r="C10" s="237" t="s">
        <v>180</v>
      </c>
      <c r="D10" s="227">
        <f>D11</f>
        <v>790036027.80999994</v>
      </c>
      <c r="E10" s="227">
        <f t="shared" ref="E10:J10" si="4">E11</f>
        <v>584743898.37</v>
      </c>
      <c r="F10" s="313">
        <f t="shared" si="4"/>
        <v>597474357.63</v>
      </c>
      <c r="G10" s="313">
        <f t="shared" si="4"/>
        <v>520777634.04000002</v>
      </c>
      <c r="H10" s="313">
        <f t="shared" si="4"/>
        <v>520777634.04000002</v>
      </c>
      <c r="I10" s="313">
        <f t="shared" si="4"/>
        <v>520777588.81</v>
      </c>
      <c r="J10" s="313">
        <f t="shared" si="4"/>
        <v>520777588.81</v>
      </c>
    </row>
    <row r="11" spans="1:17" x14ac:dyDescent="0.25">
      <c r="A11" s="225"/>
      <c r="B11" s="226" t="s">
        <v>225</v>
      </c>
      <c r="C11" s="1090"/>
      <c r="D11" s="227">
        <f>D12+D13</f>
        <v>790036027.80999994</v>
      </c>
      <c r="E11" s="227">
        <f t="shared" ref="E11:J11" si="5">E12+E13</f>
        <v>584743898.37</v>
      </c>
      <c r="F11" s="313">
        <f t="shared" si="5"/>
        <v>597474357.63</v>
      </c>
      <c r="G11" s="313">
        <f t="shared" si="5"/>
        <v>520777634.04000002</v>
      </c>
      <c r="H11" s="313">
        <f t="shared" si="5"/>
        <v>520777634.04000002</v>
      </c>
      <c r="I11" s="313">
        <f t="shared" si="5"/>
        <v>520777588.81</v>
      </c>
      <c r="J11" s="313">
        <f t="shared" si="5"/>
        <v>520777588.81</v>
      </c>
    </row>
    <row r="12" spans="1:17" x14ac:dyDescent="0.25">
      <c r="A12" s="225"/>
      <c r="B12" s="226" t="s">
        <v>177</v>
      </c>
      <c r="C12" s="1090"/>
      <c r="D12" s="227">
        <f t="shared" ref="D12:J12" si="6">D16+D20+D24+D28+D32+D36+D44</f>
        <v>758093000</v>
      </c>
      <c r="E12" s="227">
        <f t="shared" si="6"/>
        <v>573402598.37</v>
      </c>
      <c r="F12" s="313">
        <f t="shared" si="6"/>
        <v>587710857.63</v>
      </c>
      <c r="G12" s="313">
        <f t="shared" si="6"/>
        <v>520777634.04000002</v>
      </c>
      <c r="H12" s="313">
        <f t="shared" si="6"/>
        <v>520777634.04000002</v>
      </c>
      <c r="I12" s="313">
        <f t="shared" si="6"/>
        <v>520777588.81</v>
      </c>
      <c r="J12" s="313">
        <f t="shared" si="6"/>
        <v>520777588.81</v>
      </c>
    </row>
    <row r="13" spans="1:17" x14ac:dyDescent="0.25">
      <c r="A13" s="225"/>
      <c r="B13" s="226" t="s">
        <v>178</v>
      </c>
      <c r="C13" s="1090"/>
      <c r="D13" s="227">
        <f t="shared" ref="D13:J13" si="7">D41+D49</f>
        <v>31943027.809999999</v>
      </c>
      <c r="E13" s="227">
        <f t="shared" si="7"/>
        <v>11341300</v>
      </c>
      <c r="F13" s="313">
        <f t="shared" si="7"/>
        <v>9763500</v>
      </c>
      <c r="G13" s="313">
        <f t="shared" si="7"/>
        <v>0</v>
      </c>
      <c r="H13" s="313">
        <f t="shared" si="7"/>
        <v>0</v>
      </c>
      <c r="I13" s="313">
        <f t="shared" si="7"/>
        <v>0</v>
      </c>
      <c r="J13" s="313">
        <f t="shared" si="7"/>
        <v>0</v>
      </c>
    </row>
    <row r="14" spans="1:17" ht="63.75" x14ac:dyDescent="0.25">
      <c r="A14" s="230" t="s">
        <v>234</v>
      </c>
      <c r="B14" s="229" t="str">
        <f>'таблица (всего)'!C48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37" t="s">
        <v>180</v>
      </c>
      <c r="D14" s="227">
        <f>D15</f>
        <v>48322900</v>
      </c>
      <c r="E14" s="227">
        <f t="shared" ref="E14:J15" si="8">E15</f>
        <v>28786000.07</v>
      </c>
      <c r="F14" s="313">
        <f t="shared" si="8"/>
        <v>70338619.329999998</v>
      </c>
      <c r="G14" s="313">
        <f t="shared" si="8"/>
        <v>70338619.329999998</v>
      </c>
      <c r="H14" s="313">
        <f t="shared" si="8"/>
        <v>70338619.329999998</v>
      </c>
      <c r="I14" s="313">
        <f t="shared" si="8"/>
        <v>70338619.329999998</v>
      </c>
      <c r="J14" s="313">
        <f t="shared" si="8"/>
        <v>70338619.329999998</v>
      </c>
    </row>
    <row r="15" spans="1:17" x14ac:dyDescent="0.25">
      <c r="A15" s="225"/>
      <c r="B15" s="226" t="s">
        <v>225</v>
      </c>
      <c r="C15" s="1090"/>
      <c r="D15" s="227">
        <f>D16</f>
        <v>48322900</v>
      </c>
      <c r="E15" s="227">
        <f t="shared" si="8"/>
        <v>28786000.07</v>
      </c>
      <c r="F15" s="313">
        <f t="shared" si="8"/>
        <v>70338619.329999998</v>
      </c>
      <c r="G15" s="313">
        <f t="shared" si="8"/>
        <v>70338619.329999998</v>
      </c>
      <c r="H15" s="313">
        <f t="shared" si="8"/>
        <v>70338619.329999998</v>
      </c>
      <c r="I15" s="313">
        <f t="shared" si="8"/>
        <v>70338619.329999998</v>
      </c>
      <c r="J15" s="313">
        <f t="shared" si="8"/>
        <v>70338619.329999998</v>
      </c>
    </row>
    <row r="16" spans="1:17" x14ac:dyDescent="0.25">
      <c r="A16" s="225"/>
      <c r="B16" s="226" t="s">
        <v>177</v>
      </c>
      <c r="C16" s="1090"/>
      <c r="D16" s="227">
        <f>'таблица (всего)'!D48</f>
        <v>48322900</v>
      </c>
      <c r="E16" s="227">
        <f>'таблица (всего)'!E48</f>
        <v>28786000.07</v>
      </c>
      <c r="F16" s="313">
        <f>'таблица (всего)'!F48</f>
        <v>70338619.329999998</v>
      </c>
      <c r="G16" s="313">
        <f>'таблица (всего)'!G48</f>
        <v>70338619.329999998</v>
      </c>
      <c r="H16" s="313">
        <f>'таблица (всего)'!H48</f>
        <v>70338619.329999998</v>
      </c>
      <c r="I16" s="313">
        <f>'таблица (всего)'!I48</f>
        <v>70338619.329999998</v>
      </c>
      <c r="J16" s="313">
        <f>'таблица (всего)'!J48</f>
        <v>70338619.329999998</v>
      </c>
    </row>
    <row r="17" spans="1:10" x14ac:dyDescent="0.25">
      <c r="A17" s="225"/>
      <c r="B17" s="226" t="s">
        <v>178</v>
      </c>
      <c r="C17" s="1090"/>
      <c r="D17" s="228" t="s">
        <v>227</v>
      </c>
      <c r="E17" s="228" t="s">
        <v>227</v>
      </c>
      <c r="F17" s="313">
        <v>0</v>
      </c>
      <c r="G17" s="313">
        <v>0</v>
      </c>
      <c r="H17" s="313">
        <v>0</v>
      </c>
      <c r="I17" s="313">
        <v>0</v>
      </c>
      <c r="J17" s="313">
        <v>0</v>
      </c>
    </row>
    <row r="18" spans="1:10" ht="51" x14ac:dyDescent="0.25">
      <c r="A18" s="230" t="s">
        <v>235</v>
      </c>
      <c r="B18" s="229" t="str">
        <f>'таблица (всего)'!C49</f>
        <v>Оказание специализированной медицинской помощи в стационарных условиях</v>
      </c>
      <c r="C18" s="237" t="s">
        <v>180</v>
      </c>
      <c r="D18" s="227">
        <f>D19</f>
        <v>603160100</v>
      </c>
      <c r="E18" s="227">
        <f t="shared" ref="E18:J19" si="9">E19</f>
        <v>519964506.77999997</v>
      </c>
      <c r="F18" s="313">
        <f t="shared" si="9"/>
        <v>478277335.5</v>
      </c>
      <c r="G18" s="313">
        <f t="shared" si="9"/>
        <v>415864838.10000002</v>
      </c>
      <c r="H18" s="313">
        <f t="shared" si="9"/>
        <v>415864838.10000002</v>
      </c>
      <c r="I18" s="313">
        <f t="shared" si="9"/>
        <v>415864827.44</v>
      </c>
      <c r="J18" s="313">
        <f t="shared" si="9"/>
        <v>415864827.44</v>
      </c>
    </row>
    <row r="19" spans="1:10" x14ac:dyDescent="0.25">
      <c r="A19" s="225"/>
      <c r="B19" s="226" t="s">
        <v>225</v>
      </c>
      <c r="C19" s="1090"/>
      <c r="D19" s="227">
        <f>D20</f>
        <v>603160100</v>
      </c>
      <c r="E19" s="227">
        <f t="shared" si="9"/>
        <v>519964506.77999997</v>
      </c>
      <c r="F19" s="313">
        <f t="shared" si="9"/>
        <v>478277335.5</v>
      </c>
      <c r="G19" s="313">
        <f t="shared" si="9"/>
        <v>415864838.10000002</v>
      </c>
      <c r="H19" s="313">
        <f t="shared" si="9"/>
        <v>415864838.10000002</v>
      </c>
      <c r="I19" s="313">
        <f t="shared" si="9"/>
        <v>415864827.44</v>
      </c>
      <c r="J19" s="313">
        <f t="shared" si="9"/>
        <v>415864827.44</v>
      </c>
    </row>
    <row r="20" spans="1:10" x14ac:dyDescent="0.25">
      <c r="A20" s="225"/>
      <c r="B20" s="226" t="s">
        <v>177</v>
      </c>
      <c r="C20" s="1090"/>
      <c r="D20" s="227">
        <f>'таблица (всего)'!D49</f>
        <v>603160100</v>
      </c>
      <c r="E20" s="227">
        <f>'таблица (всего)'!E49</f>
        <v>519964506.77999997</v>
      </c>
      <c r="F20" s="313">
        <f>'таблица (всего)'!F49</f>
        <v>478277335.5</v>
      </c>
      <c r="G20" s="313">
        <f>'таблица (всего)'!G49</f>
        <v>415864838.10000002</v>
      </c>
      <c r="H20" s="313">
        <f>'таблица (всего)'!H49</f>
        <v>415864838.10000002</v>
      </c>
      <c r="I20" s="313">
        <f>'таблица (всего)'!I49</f>
        <v>415864827.44</v>
      </c>
      <c r="J20" s="313">
        <f>'таблица (всего)'!J49</f>
        <v>415864827.44</v>
      </c>
    </row>
    <row r="21" spans="1:10" x14ac:dyDescent="0.25">
      <c r="A21" s="225"/>
      <c r="B21" s="226" t="s">
        <v>178</v>
      </c>
      <c r="C21" s="1090"/>
      <c r="D21" s="228" t="s">
        <v>227</v>
      </c>
      <c r="E21" s="228" t="s">
        <v>227</v>
      </c>
      <c r="F21" s="313">
        <v>0</v>
      </c>
      <c r="G21" s="313">
        <v>0</v>
      </c>
      <c r="H21" s="313">
        <v>0</v>
      </c>
      <c r="I21" s="313">
        <v>0</v>
      </c>
      <c r="J21" s="313">
        <v>0</v>
      </c>
    </row>
    <row r="22" spans="1:10" ht="51" x14ac:dyDescent="0.25">
      <c r="A22" s="230" t="s">
        <v>246</v>
      </c>
      <c r="B22" s="229" t="str">
        <f>'таблица (всего)'!C50</f>
        <v xml:space="preserve">Проведение патологоанатомических вскрытий </v>
      </c>
      <c r="C22" s="237" t="s">
        <v>180</v>
      </c>
      <c r="D22" s="227">
        <f>D23</f>
        <v>0</v>
      </c>
      <c r="E22" s="227">
        <f t="shared" ref="E22:J23" si="10">E23</f>
        <v>0</v>
      </c>
      <c r="F22" s="313">
        <f t="shared" si="10"/>
        <v>15210959.310000001</v>
      </c>
      <c r="G22" s="313">
        <f t="shared" si="10"/>
        <v>13953093.43</v>
      </c>
      <c r="H22" s="313">
        <f t="shared" si="10"/>
        <v>13953093.43</v>
      </c>
      <c r="I22" s="313">
        <f t="shared" si="10"/>
        <v>13953107.560000001</v>
      </c>
      <c r="J22" s="313">
        <f t="shared" si="10"/>
        <v>13953107.560000001</v>
      </c>
    </row>
    <row r="23" spans="1:10" x14ac:dyDescent="0.25">
      <c r="A23" s="225"/>
      <c r="B23" s="226" t="s">
        <v>225</v>
      </c>
      <c r="C23" s="1090"/>
      <c r="D23" s="227">
        <f>D24</f>
        <v>0</v>
      </c>
      <c r="E23" s="227">
        <f t="shared" si="10"/>
        <v>0</v>
      </c>
      <c r="F23" s="313">
        <f t="shared" si="10"/>
        <v>15210959.310000001</v>
      </c>
      <c r="G23" s="313">
        <f t="shared" si="10"/>
        <v>13953093.43</v>
      </c>
      <c r="H23" s="313">
        <f t="shared" si="10"/>
        <v>13953093.43</v>
      </c>
      <c r="I23" s="313">
        <f t="shared" si="10"/>
        <v>13953107.560000001</v>
      </c>
      <c r="J23" s="313">
        <f t="shared" si="10"/>
        <v>13953107.560000001</v>
      </c>
    </row>
    <row r="24" spans="1:10" x14ac:dyDescent="0.25">
      <c r="A24" s="225"/>
      <c r="B24" s="226" t="s">
        <v>177</v>
      </c>
      <c r="C24" s="1090"/>
      <c r="D24" s="227">
        <f>'таблица (всего)'!D50</f>
        <v>0</v>
      </c>
      <c r="E24" s="227">
        <f>'таблица (всего)'!E50</f>
        <v>0</v>
      </c>
      <c r="F24" s="313">
        <f>'таблица (всего)'!F50</f>
        <v>15210959.310000001</v>
      </c>
      <c r="G24" s="313">
        <f>'таблица (всего)'!G50</f>
        <v>13953093.43</v>
      </c>
      <c r="H24" s="313">
        <f>'таблица (всего)'!H50</f>
        <v>13953093.43</v>
      </c>
      <c r="I24" s="313">
        <f>'таблица (всего)'!I50</f>
        <v>13953107.560000001</v>
      </c>
      <c r="J24" s="313">
        <f>'таблица (всего)'!J50</f>
        <v>13953107.560000001</v>
      </c>
    </row>
    <row r="25" spans="1:10" x14ac:dyDescent="0.25">
      <c r="A25" s="225"/>
      <c r="B25" s="226" t="s">
        <v>178</v>
      </c>
      <c r="C25" s="1090"/>
      <c r="D25" s="228" t="s">
        <v>227</v>
      </c>
      <c r="E25" s="228" t="s">
        <v>227</v>
      </c>
      <c r="F25" s="313">
        <v>0</v>
      </c>
      <c r="G25" s="313">
        <v>0</v>
      </c>
      <c r="H25" s="313">
        <v>0</v>
      </c>
      <c r="I25" s="313">
        <v>0</v>
      </c>
      <c r="J25" s="313">
        <v>0</v>
      </c>
    </row>
    <row r="26" spans="1:10" ht="51" x14ac:dyDescent="0.25">
      <c r="A26" s="230" t="s">
        <v>247</v>
      </c>
      <c r="B26" s="229" t="str">
        <f>'таблица (всего)'!C51</f>
        <v>Оказание специализированной медицинской помощи в условиях дневного стационара</v>
      </c>
      <c r="C26" s="225" t="s">
        <v>180</v>
      </c>
      <c r="D26" s="227">
        <f>D27</f>
        <v>27786000</v>
      </c>
      <c r="E26" s="227">
        <f t="shared" ref="E26:J27" si="11">E27</f>
        <v>24652091.52</v>
      </c>
      <c r="F26" s="313">
        <f t="shared" si="11"/>
        <v>23883943.489999998</v>
      </c>
      <c r="G26" s="313">
        <f t="shared" si="11"/>
        <v>20621083.18</v>
      </c>
      <c r="H26" s="313">
        <f t="shared" si="11"/>
        <v>20621083.18</v>
      </c>
      <c r="I26" s="313">
        <f t="shared" si="11"/>
        <v>20621034.48</v>
      </c>
      <c r="J26" s="313">
        <f t="shared" si="11"/>
        <v>20621034.48</v>
      </c>
    </row>
    <row r="27" spans="1:10" x14ac:dyDescent="0.25">
      <c r="A27" s="225"/>
      <c r="B27" s="226" t="s">
        <v>225</v>
      </c>
      <c r="C27" s="1085"/>
      <c r="D27" s="227">
        <f>D28</f>
        <v>27786000</v>
      </c>
      <c r="E27" s="227">
        <f t="shared" si="11"/>
        <v>24652091.52</v>
      </c>
      <c r="F27" s="313">
        <f t="shared" si="11"/>
        <v>23883943.489999998</v>
      </c>
      <c r="G27" s="313">
        <f t="shared" si="11"/>
        <v>20621083.18</v>
      </c>
      <c r="H27" s="313">
        <f t="shared" si="11"/>
        <v>20621083.18</v>
      </c>
      <c r="I27" s="313">
        <f t="shared" si="11"/>
        <v>20621034.48</v>
      </c>
      <c r="J27" s="313">
        <f t="shared" si="11"/>
        <v>20621034.48</v>
      </c>
    </row>
    <row r="28" spans="1:10" x14ac:dyDescent="0.25">
      <c r="A28" s="225"/>
      <c r="B28" s="226" t="s">
        <v>177</v>
      </c>
      <c r="C28" s="1085"/>
      <c r="D28" s="227">
        <f>'таблица (всего)'!D51</f>
        <v>27786000</v>
      </c>
      <c r="E28" s="227">
        <f>'таблица (всего)'!E51</f>
        <v>24652091.52</v>
      </c>
      <c r="F28" s="313">
        <f>'таблица (всего)'!F51</f>
        <v>23883943.489999998</v>
      </c>
      <c r="G28" s="313">
        <f>'таблица (всего)'!G51</f>
        <v>20621083.18</v>
      </c>
      <c r="H28" s="313">
        <f>'таблица (всего)'!H51</f>
        <v>20621083.18</v>
      </c>
      <c r="I28" s="313">
        <f>'таблица (всего)'!I51</f>
        <v>20621034.48</v>
      </c>
      <c r="J28" s="313">
        <f>'таблица (всего)'!J51</f>
        <v>20621034.48</v>
      </c>
    </row>
    <row r="29" spans="1:10" x14ac:dyDescent="0.25">
      <c r="A29" s="225"/>
      <c r="B29" s="226" t="s">
        <v>178</v>
      </c>
      <c r="C29" s="1085"/>
      <c r="D29" s="228" t="s">
        <v>227</v>
      </c>
      <c r="E29" s="228" t="s">
        <v>227</v>
      </c>
      <c r="F29" s="313">
        <v>0</v>
      </c>
      <c r="G29" s="313">
        <v>0</v>
      </c>
      <c r="H29" s="313">
        <v>0</v>
      </c>
      <c r="I29" s="313">
        <v>0</v>
      </c>
      <c r="J29" s="313">
        <v>0</v>
      </c>
    </row>
    <row r="30" spans="1:10" ht="51" hidden="1" x14ac:dyDescent="0.25">
      <c r="A30" s="230" t="s">
        <v>248</v>
      </c>
      <c r="B30" s="229" t="str">
        <f>'таблица (всего)'!C52</f>
        <v>Оказание высокотехнолгичной медицинской помощи</v>
      </c>
      <c r="C30" s="237" t="s">
        <v>180</v>
      </c>
      <c r="D30" s="227">
        <f>D31</f>
        <v>66341200</v>
      </c>
      <c r="E30" s="227">
        <f t="shared" ref="E30:J31" si="12">E31</f>
        <v>0</v>
      </c>
      <c r="F30" s="313">
        <f t="shared" si="12"/>
        <v>0</v>
      </c>
      <c r="G30" s="313">
        <f t="shared" si="12"/>
        <v>0</v>
      </c>
      <c r="H30" s="313">
        <f t="shared" si="12"/>
        <v>0</v>
      </c>
      <c r="I30" s="313">
        <f t="shared" si="12"/>
        <v>0</v>
      </c>
      <c r="J30" s="313">
        <f t="shared" si="12"/>
        <v>0</v>
      </c>
    </row>
    <row r="31" spans="1:10" hidden="1" x14ac:dyDescent="0.25">
      <c r="A31" s="225"/>
      <c r="B31" s="226" t="s">
        <v>225</v>
      </c>
      <c r="C31" s="1090"/>
      <c r="D31" s="227">
        <f>D32</f>
        <v>66341200</v>
      </c>
      <c r="E31" s="227">
        <f t="shared" si="12"/>
        <v>0</v>
      </c>
      <c r="F31" s="313">
        <f t="shared" si="12"/>
        <v>0</v>
      </c>
      <c r="G31" s="313">
        <f t="shared" si="12"/>
        <v>0</v>
      </c>
      <c r="H31" s="313">
        <f t="shared" si="12"/>
        <v>0</v>
      </c>
      <c r="I31" s="313">
        <f t="shared" si="12"/>
        <v>0</v>
      </c>
      <c r="J31" s="313">
        <f t="shared" si="12"/>
        <v>0</v>
      </c>
    </row>
    <row r="32" spans="1:10" hidden="1" x14ac:dyDescent="0.25">
      <c r="A32" s="225"/>
      <c r="B32" s="226" t="s">
        <v>177</v>
      </c>
      <c r="C32" s="1090"/>
      <c r="D32" s="227">
        <f>'таблица (всего)'!D52</f>
        <v>66341200</v>
      </c>
      <c r="E32" s="227">
        <f>'таблица (всего)'!E52</f>
        <v>0</v>
      </c>
      <c r="F32" s="313">
        <f>'таблица (всего)'!F52</f>
        <v>0</v>
      </c>
      <c r="G32" s="313">
        <f>'таблица (всего)'!G52</f>
        <v>0</v>
      </c>
      <c r="H32" s="313">
        <f>'таблица (всего)'!H52</f>
        <v>0</v>
      </c>
      <c r="I32" s="313">
        <f>'таблица (всего)'!I52</f>
        <v>0</v>
      </c>
      <c r="J32" s="313">
        <f>'таблица (всего)'!J52</f>
        <v>0</v>
      </c>
    </row>
    <row r="33" spans="1:10" hidden="1" x14ac:dyDescent="0.25">
      <c r="A33" s="225"/>
      <c r="B33" s="226" t="s">
        <v>178</v>
      </c>
      <c r="C33" s="1090"/>
      <c r="D33" s="228" t="s">
        <v>227</v>
      </c>
      <c r="E33" s="228" t="s">
        <v>227</v>
      </c>
      <c r="F33" s="313">
        <v>0</v>
      </c>
      <c r="G33" s="313">
        <v>0</v>
      </c>
      <c r="H33" s="313">
        <v>0</v>
      </c>
      <c r="I33" s="313">
        <v>0</v>
      </c>
      <c r="J33" s="313"/>
    </row>
    <row r="34" spans="1:10" ht="51" hidden="1" x14ac:dyDescent="0.25">
      <c r="A34" s="230" t="s">
        <v>249</v>
      </c>
      <c r="B34" s="229" t="str">
        <f>'таблица (всего)'!C53</f>
        <v>Оказание скорой медицинской помощи</v>
      </c>
      <c r="C34" s="225" t="s">
        <v>180</v>
      </c>
      <c r="D34" s="227">
        <f>D35</f>
        <v>11160400</v>
      </c>
      <c r="E34" s="227">
        <f t="shared" ref="E34:J35" si="13">E35</f>
        <v>0</v>
      </c>
      <c r="F34" s="313">
        <f t="shared" si="13"/>
        <v>0</v>
      </c>
      <c r="G34" s="313">
        <f t="shared" si="13"/>
        <v>0</v>
      </c>
      <c r="H34" s="313">
        <f t="shared" si="13"/>
        <v>0</v>
      </c>
      <c r="I34" s="313">
        <f t="shared" si="13"/>
        <v>0</v>
      </c>
      <c r="J34" s="313">
        <f t="shared" si="13"/>
        <v>0</v>
      </c>
    </row>
    <row r="35" spans="1:10" hidden="1" x14ac:dyDescent="0.25">
      <c r="A35" s="225"/>
      <c r="B35" s="226" t="s">
        <v>225</v>
      </c>
      <c r="C35" s="1085"/>
      <c r="D35" s="227">
        <f>D36</f>
        <v>11160400</v>
      </c>
      <c r="E35" s="227">
        <f t="shared" si="13"/>
        <v>0</v>
      </c>
      <c r="F35" s="313">
        <f t="shared" si="13"/>
        <v>0</v>
      </c>
      <c r="G35" s="313">
        <f t="shared" si="13"/>
        <v>0</v>
      </c>
      <c r="H35" s="313">
        <f t="shared" si="13"/>
        <v>0</v>
      </c>
      <c r="I35" s="313">
        <f t="shared" si="13"/>
        <v>0</v>
      </c>
      <c r="J35" s="313">
        <f t="shared" si="13"/>
        <v>0</v>
      </c>
    </row>
    <row r="36" spans="1:10" hidden="1" x14ac:dyDescent="0.25">
      <c r="A36" s="225"/>
      <c r="B36" s="226" t="s">
        <v>177</v>
      </c>
      <c r="C36" s="1085"/>
      <c r="D36" s="227">
        <f>'таблица (всего)'!D53</f>
        <v>11160400</v>
      </c>
      <c r="E36" s="227">
        <f>'таблица (всего)'!E53</f>
        <v>0</v>
      </c>
      <c r="F36" s="313">
        <f>'таблица (всего)'!F53</f>
        <v>0</v>
      </c>
      <c r="G36" s="313">
        <f>'таблица (всего)'!G53</f>
        <v>0</v>
      </c>
      <c r="H36" s="313">
        <f>'таблица (всего)'!H53</f>
        <v>0</v>
      </c>
      <c r="I36" s="313">
        <f>'таблица (всего)'!I53</f>
        <v>0</v>
      </c>
      <c r="J36" s="313">
        <f>'таблица (всего)'!J53</f>
        <v>0</v>
      </c>
    </row>
    <row r="37" spans="1:10" hidden="1" x14ac:dyDescent="0.25">
      <c r="A37" s="225"/>
      <c r="B37" s="226" t="s">
        <v>178</v>
      </c>
      <c r="C37" s="1085"/>
      <c r="D37" s="228" t="s">
        <v>227</v>
      </c>
      <c r="E37" s="228" t="s">
        <v>227</v>
      </c>
      <c r="F37" s="313">
        <v>0</v>
      </c>
      <c r="G37" s="313">
        <v>0</v>
      </c>
      <c r="H37" s="313">
        <v>0</v>
      </c>
      <c r="I37" s="313">
        <v>0</v>
      </c>
      <c r="J37" s="313">
        <v>0</v>
      </c>
    </row>
    <row r="38" spans="1:10" ht="127.5" x14ac:dyDescent="0.25">
      <c r="A38" s="230" t="s">
        <v>250</v>
      </c>
      <c r="B38" s="229" t="str">
        <f>'таблица (всего)'!C54</f>
        <v>Финансовое обеспечение закупок антибактериальных и противотуберкулёзных лекарственных препаратов (второго ряда), применяемых при лечении больных туберкулёзом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туберкулёза и мониторинга лечения больных туберкулёзом с множественной лекарственной устойчивостью возбудителя</v>
      </c>
      <c r="C38" s="237" t="s">
        <v>180</v>
      </c>
      <c r="D38" s="227">
        <f>D39</f>
        <v>21906627.809999999</v>
      </c>
      <c r="E38" s="227">
        <f t="shared" ref="E38:J38" si="14">E39</f>
        <v>11341300</v>
      </c>
      <c r="F38" s="313">
        <f t="shared" si="14"/>
        <v>9763500</v>
      </c>
      <c r="G38" s="313">
        <f t="shared" si="14"/>
        <v>0</v>
      </c>
      <c r="H38" s="313">
        <f t="shared" si="14"/>
        <v>0</v>
      </c>
      <c r="I38" s="313">
        <f t="shared" si="14"/>
        <v>0</v>
      </c>
      <c r="J38" s="313">
        <f t="shared" si="14"/>
        <v>0</v>
      </c>
    </row>
    <row r="39" spans="1:10" x14ac:dyDescent="0.25">
      <c r="A39" s="225"/>
      <c r="B39" s="226" t="s">
        <v>225</v>
      </c>
      <c r="C39" s="1090"/>
      <c r="D39" s="227">
        <f>D41</f>
        <v>21906627.809999999</v>
      </c>
      <c r="E39" s="227">
        <f t="shared" ref="E39:J39" si="15">E41</f>
        <v>11341300</v>
      </c>
      <c r="F39" s="313">
        <f t="shared" si="15"/>
        <v>9763500</v>
      </c>
      <c r="G39" s="313">
        <f t="shared" si="15"/>
        <v>0</v>
      </c>
      <c r="H39" s="313">
        <f t="shared" si="15"/>
        <v>0</v>
      </c>
      <c r="I39" s="313">
        <f t="shared" si="15"/>
        <v>0</v>
      </c>
      <c r="J39" s="313">
        <f t="shared" si="15"/>
        <v>0</v>
      </c>
    </row>
    <row r="40" spans="1:10" x14ac:dyDescent="0.25">
      <c r="A40" s="225"/>
      <c r="B40" s="226" t="s">
        <v>177</v>
      </c>
      <c r="C40" s="1090"/>
      <c r="D40" s="228" t="s">
        <v>227</v>
      </c>
      <c r="E40" s="228" t="s">
        <v>227</v>
      </c>
      <c r="F40" s="313">
        <v>0</v>
      </c>
      <c r="G40" s="313">
        <v>0</v>
      </c>
      <c r="H40" s="313">
        <v>0</v>
      </c>
      <c r="I40" s="313">
        <v>0</v>
      </c>
      <c r="J40" s="313">
        <v>0</v>
      </c>
    </row>
    <row r="41" spans="1:10" x14ac:dyDescent="0.25">
      <c r="A41" s="225"/>
      <c r="B41" s="226" t="s">
        <v>178</v>
      </c>
      <c r="C41" s="1090"/>
      <c r="D41" s="227">
        <f>'таблица (всего)'!D54</f>
        <v>21906627.809999999</v>
      </c>
      <c r="E41" s="227">
        <f>'таблица (всего)'!E54</f>
        <v>11341300</v>
      </c>
      <c r="F41" s="313">
        <f>'таблица (всего)'!F54</f>
        <v>9763500</v>
      </c>
      <c r="G41" s="313">
        <f>'таблица (всего)'!G54</f>
        <v>0</v>
      </c>
      <c r="H41" s="313">
        <f>'таблица (всего)'!H54</f>
        <v>0</v>
      </c>
      <c r="I41" s="313">
        <f>'таблица (всего)'!I54</f>
        <v>0</v>
      </c>
      <c r="J41" s="313">
        <f>'таблица (всего)'!J54</f>
        <v>0</v>
      </c>
    </row>
    <row r="42" spans="1:10" ht="51" hidden="1" x14ac:dyDescent="0.25">
      <c r="A42" s="230" t="s">
        <v>251</v>
      </c>
      <c r="B42" s="226" t="str">
        <f>'таблица (всего)'!C55</f>
        <v xml:space="preserve">Оплата лечения при оказании высокотехнологичной медицинской помощи в федеральных учреждениях здравоохранения
</v>
      </c>
      <c r="C42" s="237" t="s">
        <v>180</v>
      </c>
      <c r="D42" s="227">
        <f>D43</f>
        <v>1322400</v>
      </c>
      <c r="E42" s="227">
        <f t="shared" ref="E42:J43" si="16">E43</f>
        <v>0</v>
      </c>
      <c r="F42" s="313">
        <f t="shared" si="16"/>
        <v>0</v>
      </c>
      <c r="G42" s="313">
        <f t="shared" si="16"/>
        <v>0</v>
      </c>
      <c r="H42" s="313">
        <f t="shared" si="16"/>
        <v>0</v>
      </c>
      <c r="I42" s="313">
        <f t="shared" si="16"/>
        <v>0</v>
      </c>
      <c r="J42" s="313">
        <f t="shared" si="16"/>
        <v>0</v>
      </c>
    </row>
    <row r="43" spans="1:10" hidden="1" x14ac:dyDescent="0.25">
      <c r="A43" s="225"/>
      <c r="B43" s="226" t="s">
        <v>225</v>
      </c>
      <c r="C43" s="1090"/>
      <c r="D43" s="227">
        <f>D44</f>
        <v>1322400</v>
      </c>
      <c r="E43" s="227">
        <f t="shared" si="16"/>
        <v>0</v>
      </c>
      <c r="F43" s="313">
        <f t="shared" si="16"/>
        <v>0</v>
      </c>
      <c r="G43" s="313">
        <f t="shared" si="16"/>
        <v>0</v>
      </c>
      <c r="H43" s="313">
        <f t="shared" si="16"/>
        <v>0</v>
      </c>
      <c r="I43" s="313">
        <f t="shared" si="16"/>
        <v>0</v>
      </c>
      <c r="J43" s="313">
        <f t="shared" si="16"/>
        <v>0</v>
      </c>
    </row>
    <row r="44" spans="1:10" hidden="1" x14ac:dyDescent="0.25">
      <c r="A44" s="225"/>
      <c r="B44" s="226" t="s">
        <v>177</v>
      </c>
      <c r="C44" s="1090"/>
      <c r="D44" s="227">
        <f>'таблица (всего)'!D55</f>
        <v>1322400</v>
      </c>
      <c r="E44" s="227">
        <f>'таблица (всего)'!E55</f>
        <v>0</v>
      </c>
      <c r="F44" s="313">
        <f>'таблица (всего)'!F55</f>
        <v>0</v>
      </c>
      <c r="G44" s="313">
        <f>'таблица (всего)'!G55</f>
        <v>0</v>
      </c>
      <c r="H44" s="313">
        <f>'таблица (всего)'!H55</f>
        <v>0</v>
      </c>
      <c r="I44" s="313">
        <f>'таблица (всего)'!I55</f>
        <v>0</v>
      </c>
      <c r="J44" s="313">
        <f>'таблица (всего)'!J55</f>
        <v>0</v>
      </c>
    </row>
    <row r="45" spans="1:10" hidden="1" x14ac:dyDescent="0.25">
      <c r="A45" s="225"/>
      <c r="B45" s="226" t="s">
        <v>178</v>
      </c>
      <c r="C45" s="1090"/>
      <c r="D45" s="228" t="s">
        <v>227</v>
      </c>
      <c r="E45" s="228" t="s">
        <v>227</v>
      </c>
      <c r="F45" s="313">
        <v>0</v>
      </c>
      <c r="G45" s="313">
        <v>0</v>
      </c>
      <c r="H45" s="313">
        <v>0</v>
      </c>
      <c r="I45" s="313">
        <v>0</v>
      </c>
      <c r="J45" s="313">
        <v>0</v>
      </c>
    </row>
    <row r="46" spans="1:10" ht="51" hidden="1" x14ac:dyDescent="0.25">
      <c r="A46" s="230" t="s">
        <v>252</v>
      </c>
      <c r="B46" s="226" t="str">
        <f>'таблица (всего)'!C56</f>
        <v xml:space="preserve">Мероприятия по оказанию высокотехнологичных видов медицинской помощи
</v>
      </c>
      <c r="C46" s="237" t="s">
        <v>180</v>
      </c>
      <c r="D46" s="227">
        <f>D47</f>
        <v>10036400</v>
      </c>
      <c r="E46" s="227">
        <f t="shared" ref="E46:J46" si="17">E47</f>
        <v>0</v>
      </c>
      <c r="F46" s="313">
        <f t="shared" si="17"/>
        <v>0</v>
      </c>
      <c r="G46" s="313">
        <f t="shared" si="17"/>
        <v>0</v>
      </c>
      <c r="H46" s="313">
        <f t="shared" si="17"/>
        <v>0</v>
      </c>
      <c r="I46" s="313">
        <f t="shared" si="17"/>
        <v>0</v>
      </c>
      <c r="J46" s="313">
        <f t="shared" si="17"/>
        <v>0</v>
      </c>
    </row>
    <row r="47" spans="1:10" hidden="1" x14ac:dyDescent="0.25">
      <c r="A47" s="225"/>
      <c r="B47" s="226" t="s">
        <v>225</v>
      </c>
      <c r="C47" s="1090"/>
      <c r="D47" s="227">
        <f>D49</f>
        <v>10036400</v>
      </c>
      <c r="E47" s="227">
        <f t="shared" ref="E47:J47" si="18">E49</f>
        <v>0</v>
      </c>
      <c r="F47" s="313">
        <f t="shared" si="18"/>
        <v>0</v>
      </c>
      <c r="G47" s="313">
        <f t="shared" si="18"/>
        <v>0</v>
      </c>
      <c r="H47" s="313">
        <f t="shared" si="18"/>
        <v>0</v>
      </c>
      <c r="I47" s="313">
        <f t="shared" si="18"/>
        <v>0</v>
      </c>
      <c r="J47" s="313">
        <f t="shared" si="18"/>
        <v>0</v>
      </c>
    </row>
    <row r="48" spans="1:10" hidden="1" x14ac:dyDescent="0.25">
      <c r="A48" s="225"/>
      <c r="B48" s="226" t="s">
        <v>177</v>
      </c>
      <c r="C48" s="1090"/>
      <c r="D48" s="228" t="s">
        <v>227</v>
      </c>
      <c r="E48" s="228" t="s">
        <v>227</v>
      </c>
      <c r="F48" s="313">
        <v>0</v>
      </c>
      <c r="G48" s="313">
        <v>0</v>
      </c>
      <c r="H48" s="313">
        <v>0</v>
      </c>
      <c r="I48" s="313">
        <v>0</v>
      </c>
      <c r="J48" s="313">
        <v>0</v>
      </c>
    </row>
    <row r="49" spans="1:10" hidden="1" x14ac:dyDescent="0.25">
      <c r="A49" s="225"/>
      <c r="B49" s="226" t="s">
        <v>178</v>
      </c>
      <c r="C49" s="1090"/>
      <c r="D49" s="227">
        <f>'таблица (всего)'!D56</f>
        <v>10036400</v>
      </c>
      <c r="E49" s="227">
        <f>'таблица (всего)'!E56</f>
        <v>0</v>
      </c>
      <c r="F49" s="313">
        <f>'таблица (всего)'!F56</f>
        <v>0</v>
      </c>
      <c r="G49" s="313">
        <f>'таблица (всего)'!G56</f>
        <v>0</v>
      </c>
      <c r="H49" s="313">
        <f>'таблица (всего)'!H56</f>
        <v>0</v>
      </c>
      <c r="I49" s="313">
        <f>'таблица (всего)'!I56</f>
        <v>0</v>
      </c>
      <c r="J49" s="313">
        <f>'таблица (всего)'!J56</f>
        <v>0</v>
      </c>
    </row>
    <row r="50" spans="1:10" ht="76.5" x14ac:dyDescent="0.25">
      <c r="A50" s="225" t="s">
        <v>229</v>
      </c>
      <c r="B50" s="229" t="str">
        <f>'таблица (всего)'!C57</f>
        <v>«Обследование населения с целью выявления туберкулеза, лечения больных туберкулезом, обеспечение закупок диагностических средств для выявления и мониторинга лечения лиц, инфицированных вирусами иммунодефицита человека и гепатитов В и С»</v>
      </c>
      <c r="C50" s="225" t="s">
        <v>180</v>
      </c>
      <c r="D50" s="227">
        <f>D51</f>
        <v>48462500</v>
      </c>
      <c r="E50" s="227">
        <f t="shared" ref="E50:J50" si="19">E51</f>
        <v>15666300</v>
      </c>
      <c r="F50" s="313">
        <f t="shared" si="19"/>
        <v>13843200</v>
      </c>
      <c r="G50" s="313">
        <f t="shared" si="19"/>
        <v>0</v>
      </c>
      <c r="H50" s="313">
        <f t="shared" si="19"/>
        <v>0</v>
      </c>
      <c r="I50" s="313">
        <f t="shared" si="19"/>
        <v>0</v>
      </c>
      <c r="J50" s="313">
        <f t="shared" si="19"/>
        <v>0</v>
      </c>
    </row>
    <row r="51" spans="1:10" x14ac:dyDescent="0.25">
      <c r="A51" s="225"/>
      <c r="B51" s="226" t="s">
        <v>225</v>
      </c>
      <c r="C51" s="1085"/>
      <c r="D51" s="227">
        <f>D53</f>
        <v>48462500</v>
      </c>
      <c r="E51" s="227">
        <f t="shared" ref="E51:J51" si="20">E53</f>
        <v>15666300</v>
      </c>
      <c r="F51" s="313">
        <f t="shared" si="20"/>
        <v>13843200</v>
      </c>
      <c r="G51" s="313">
        <f t="shared" si="20"/>
        <v>0</v>
      </c>
      <c r="H51" s="313">
        <f t="shared" si="20"/>
        <v>0</v>
      </c>
      <c r="I51" s="313">
        <f t="shared" si="20"/>
        <v>0</v>
      </c>
      <c r="J51" s="313">
        <f t="shared" si="20"/>
        <v>0</v>
      </c>
    </row>
    <row r="52" spans="1:10" x14ac:dyDescent="0.25">
      <c r="A52" s="225"/>
      <c r="B52" s="226" t="s">
        <v>177</v>
      </c>
      <c r="C52" s="1085"/>
      <c r="D52" s="228" t="s">
        <v>227</v>
      </c>
      <c r="E52" s="228" t="s">
        <v>227</v>
      </c>
      <c r="F52" s="313">
        <v>0</v>
      </c>
      <c r="G52" s="313">
        <v>0</v>
      </c>
      <c r="H52" s="313">
        <v>0</v>
      </c>
      <c r="I52" s="313">
        <v>0</v>
      </c>
      <c r="J52" s="313">
        <v>0</v>
      </c>
    </row>
    <row r="53" spans="1:10" x14ac:dyDescent="0.25">
      <c r="A53" s="225"/>
      <c r="B53" s="226" t="s">
        <v>178</v>
      </c>
      <c r="C53" s="1085"/>
      <c r="D53" s="227">
        <f>D57</f>
        <v>48462500</v>
      </c>
      <c r="E53" s="227">
        <f t="shared" ref="E53:J53" si="21">E57</f>
        <v>15666300</v>
      </c>
      <c r="F53" s="313">
        <f t="shared" si="21"/>
        <v>13843200</v>
      </c>
      <c r="G53" s="313">
        <f t="shared" si="21"/>
        <v>0</v>
      </c>
      <c r="H53" s="313">
        <f t="shared" si="21"/>
        <v>0</v>
      </c>
      <c r="I53" s="313">
        <f t="shared" si="21"/>
        <v>0</v>
      </c>
      <c r="J53" s="313">
        <f t="shared" si="21"/>
        <v>0</v>
      </c>
    </row>
    <row r="54" spans="1:10" ht="51" x14ac:dyDescent="0.25">
      <c r="A54" s="230" t="s">
        <v>236</v>
      </c>
      <c r="B54" s="229" t="str">
        <f>'таблица (всего)'!C58</f>
        <v xml:space="preserve">Реализация отдельных мероприятий государственной программы Российской Федерации  «Развитие здравоохранения»
</v>
      </c>
      <c r="C54" s="225" t="s">
        <v>180</v>
      </c>
      <c r="D54" s="227">
        <f>D55</f>
        <v>48462500</v>
      </c>
      <c r="E54" s="227">
        <f t="shared" ref="E54:J54" si="22">E55</f>
        <v>15666300</v>
      </c>
      <c r="F54" s="313">
        <f t="shared" si="22"/>
        <v>13843200</v>
      </c>
      <c r="G54" s="313">
        <f t="shared" si="22"/>
        <v>0</v>
      </c>
      <c r="H54" s="313">
        <f t="shared" si="22"/>
        <v>0</v>
      </c>
      <c r="I54" s="313">
        <f t="shared" si="22"/>
        <v>0</v>
      </c>
      <c r="J54" s="313">
        <f t="shared" si="22"/>
        <v>0</v>
      </c>
    </row>
    <row r="55" spans="1:10" x14ac:dyDescent="0.25">
      <c r="A55" s="225"/>
      <c r="B55" s="226" t="s">
        <v>225</v>
      </c>
      <c r="C55" s="1085"/>
      <c r="D55" s="227">
        <f>D57</f>
        <v>48462500</v>
      </c>
      <c r="E55" s="227">
        <f t="shared" ref="E55:J55" si="23">E57</f>
        <v>15666300</v>
      </c>
      <c r="F55" s="313">
        <f t="shared" si="23"/>
        <v>13843200</v>
      </c>
      <c r="G55" s="313">
        <f t="shared" si="23"/>
        <v>0</v>
      </c>
      <c r="H55" s="313">
        <f t="shared" si="23"/>
        <v>0</v>
      </c>
      <c r="I55" s="313">
        <f t="shared" si="23"/>
        <v>0</v>
      </c>
      <c r="J55" s="313">
        <f t="shared" si="23"/>
        <v>0</v>
      </c>
    </row>
    <row r="56" spans="1:10" x14ac:dyDescent="0.25">
      <c r="A56" s="225"/>
      <c r="B56" s="226" t="s">
        <v>177</v>
      </c>
      <c r="C56" s="1085"/>
      <c r="D56" s="228" t="s">
        <v>227</v>
      </c>
      <c r="E56" s="228" t="s">
        <v>227</v>
      </c>
      <c r="F56" s="313">
        <v>0</v>
      </c>
      <c r="G56" s="313">
        <v>0</v>
      </c>
      <c r="H56" s="313">
        <v>0</v>
      </c>
      <c r="I56" s="313">
        <v>0</v>
      </c>
      <c r="J56" s="313">
        <v>0</v>
      </c>
    </row>
    <row r="57" spans="1:10" x14ac:dyDescent="0.25">
      <c r="A57" s="225"/>
      <c r="B57" s="226" t="s">
        <v>178</v>
      </c>
      <c r="C57" s="1085"/>
      <c r="D57" s="227">
        <f>'таблица (всего)'!D58</f>
        <v>48462500</v>
      </c>
      <c r="E57" s="227">
        <f>'таблица (всего)'!E58</f>
        <v>15666300</v>
      </c>
      <c r="F57" s="313">
        <f>'таблица (всего)'!F58</f>
        <v>13843200</v>
      </c>
      <c r="G57" s="313">
        <f>'таблица (всего)'!G58</f>
        <v>0</v>
      </c>
      <c r="H57" s="313">
        <f>'таблица (всего)'!H58</f>
        <v>0</v>
      </c>
      <c r="I57" s="313">
        <f>'таблица (всего)'!I58</f>
        <v>0</v>
      </c>
      <c r="J57" s="313">
        <f>'таблица (всего)'!J58</f>
        <v>0</v>
      </c>
    </row>
    <row r="58" spans="1:10" ht="51" x14ac:dyDescent="0.25">
      <c r="A58" s="225" t="s">
        <v>231</v>
      </c>
      <c r="B58" s="229" t="str">
        <f>'таблица (всего)'!C60</f>
        <v>«Совершенствование оказания медицинской помощи лицам, инфицированным вирусом иммунодефицита человека, гепатитами В и С»</v>
      </c>
      <c r="C58" s="225" t="s">
        <v>180</v>
      </c>
      <c r="D58" s="227">
        <f>D59</f>
        <v>219337139.53</v>
      </c>
      <c r="E58" s="227">
        <f t="shared" ref="E58:J58" si="24">E59</f>
        <v>221114164.63999999</v>
      </c>
      <c r="F58" s="313">
        <f t="shared" si="24"/>
        <v>198829308.69999999</v>
      </c>
      <c r="G58" s="313">
        <f t="shared" si="24"/>
        <v>12294834.26</v>
      </c>
      <c r="H58" s="313">
        <f t="shared" si="24"/>
        <v>12442444.15</v>
      </c>
      <c r="I58" s="313">
        <f t="shared" si="24"/>
        <v>12491586.01</v>
      </c>
      <c r="J58" s="313">
        <f t="shared" si="24"/>
        <v>14706891.5</v>
      </c>
    </row>
    <row r="59" spans="1:10" x14ac:dyDescent="0.25">
      <c r="A59" s="225"/>
      <c r="B59" s="226" t="s">
        <v>225</v>
      </c>
      <c r="C59" s="1085"/>
      <c r="D59" s="227">
        <f>D60+D61</f>
        <v>219337139.53</v>
      </c>
      <c r="E59" s="227">
        <f t="shared" ref="E59:J59" si="25">E60+E61</f>
        <v>221114164.63999999</v>
      </c>
      <c r="F59" s="313">
        <f t="shared" si="25"/>
        <v>198829308.69999999</v>
      </c>
      <c r="G59" s="313">
        <f t="shared" si="25"/>
        <v>12294834.26</v>
      </c>
      <c r="H59" s="313">
        <f t="shared" si="25"/>
        <v>12442444.15</v>
      </c>
      <c r="I59" s="313">
        <f t="shared" si="25"/>
        <v>12491586.01</v>
      </c>
      <c r="J59" s="313">
        <f t="shared" si="25"/>
        <v>14706891.5</v>
      </c>
    </row>
    <row r="60" spans="1:10" x14ac:dyDescent="0.25">
      <c r="A60" s="225"/>
      <c r="B60" s="226" t="s">
        <v>177</v>
      </c>
      <c r="C60" s="1085"/>
      <c r="D60" s="227">
        <f t="shared" ref="D60:J60" si="26">D64+D68</f>
        <v>26623700</v>
      </c>
      <c r="E60" s="227">
        <f t="shared" si="26"/>
        <v>16918864.640000001</v>
      </c>
      <c r="F60" s="313">
        <f t="shared" si="26"/>
        <v>18226908.699999999</v>
      </c>
      <c r="G60" s="313">
        <f t="shared" si="26"/>
        <v>12294834.26</v>
      </c>
      <c r="H60" s="313">
        <f t="shared" si="26"/>
        <v>12442444.15</v>
      </c>
      <c r="I60" s="313">
        <f t="shared" si="26"/>
        <v>12491586.01</v>
      </c>
      <c r="J60" s="313">
        <f t="shared" si="26"/>
        <v>14706891.5</v>
      </c>
    </row>
    <row r="61" spans="1:10" x14ac:dyDescent="0.25">
      <c r="A61" s="225"/>
      <c r="B61" s="226" t="s">
        <v>178</v>
      </c>
      <c r="C61" s="1085"/>
      <c r="D61" s="227">
        <f t="shared" ref="D61:J61" si="27">D73+D77</f>
        <v>192713439.53</v>
      </c>
      <c r="E61" s="227">
        <f t="shared" si="27"/>
        <v>204195300</v>
      </c>
      <c r="F61" s="313">
        <f t="shared" si="27"/>
        <v>180602400</v>
      </c>
      <c r="G61" s="313">
        <f t="shared" si="27"/>
        <v>0</v>
      </c>
      <c r="H61" s="313">
        <f t="shared" si="27"/>
        <v>0</v>
      </c>
      <c r="I61" s="313">
        <f t="shared" si="27"/>
        <v>0</v>
      </c>
      <c r="J61" s="313">
        <f t="shared" si="27"/>
        <v>0</v>
      </c>
    </row>
    <row r="62" spans="1:10" ht="63.75" x14ac:dyDescent="0.25">
      <c r="A62" s="230" t="s">
        <v>238</v>
      </c>
      <c r="B62" s="229" t="str">
        <f>'таблица (всего)'!C61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2" s="225" t="s">
        <v>180</v>
      </c>
      <c r="D62" s="227">
        <f>D63</f>
        <v>1671400</v>
      </c>
      <c r="E62" s="227">
        <f t="shared" ref="E62:J63" si="28">E63</f>
        <v>700000.04</v>
      </c>
      <c r="F62" s="313">
        <f t="shared" si="28"/>
        <v>1648040</v>
      </c>
      <c r="G62" s="313">
        <f t="shared" si="28"/>
        <v>1648040</v>
      </c>
      <c r="H62" s="313">
        <f t="shared" si="28"/>
        <v>1648040</v>
      </c>
      <c r="I62" s="313">
        <f t="shared" si="28"/>
        <v>1648040</v>
      </c>
      <c r="J62" s="313">
        <f t="shared" si="28"/>
        <v>1648040</v>
      </c>
    </row>
    <row r="63" spans="1:10" x14ac:dyDescent="0.25">
      <c r="A63" s="225"/>
      <c r="B63" s="226" t="s">
        <v>225</v>
      </c>
      <c r="C63" s="1085"/>
      <c r="D63" s="227">
        <f>D64</f>
        <v>1671400</v>
      </c>
      <c r="E63" s="227">
        <f t="shared" si="28"/>
        <v>700000.04</v>
      </c>
      <c r="F63" s="313">
        <f t="shared" si="28"/>
        <v>1648040</v>
      </c>
      <c r="G63" s="313">
        <f t="shared" si="28"/>
        <v>1648040</v>
      </c>
      <c r="H63" s="313">
        <f t="shared" si="28"/>
        <v>1648040</v>
      </c>
      <c r="I63" s="313">
        <f t="shared" si="28"/>
        <v>1648040</v>
      </c>
      <c r="J63" s="313">
        <f t="shared" si="28"/>
        <v>1648040</v>
      </c>
    </row>
    <row r="64" spans="1:10" x14ac:dyDescent="0.25">
      <c r="A64" s="225"/>
      <c r="B64" s="226" t="s">
        <v>177</v>
      </c>
      <c r="C64" s="1085"/>
      <c r="D64" s="227">
        <f>'таблица (всего)'!D61</f>
        <v>1671400</v>
      </c>
      <c r="E64" s="227">
        <f>'таблица (всего)'!E61</f>
        <v>700000.04</v>
      </c>
      <c r="F64" s="313">
        <f>'таблица (всего)'!F61</f>
        <v>1648040</v>
      </c>
      <c r="G64" s="313">
        <f>'таблица (всего)'!G61</f>
        <v>1648040</v>
      </c>
      <c r="H64" s="313">
        <f>'таблица (всего)'!H61</f>
        <v>1648040</v>
      </c>
      <c r="I64" s="313">
        <f>'таблица (всего)'!I61</f>
        <v>1648040</v>
      </c>
      <c r="J64" s="313">
        <f>'таблица (всего)'!J61</f>
        <v>1648040</v>
      </c>
    </row>
    <row r="65" spans="1:10" x14ac:dyDescent="0.25">
      <c r="A65" s="225"/>
      <c r="B65" s="226" t="s">
        <v>178</v>
      </c>
      <c r="C65" s="1085"/>
      <c r="D65" s="228" t="s">
        <v>227</v>
      </c>
      <c r="E65" s="228" t="s">
        <v>227</v>
      </c>
      <c r="F65" s="313">
        <v>0</v>
      </c>
      <c r="G65" s="313">
        <v>0</v>
      </c>
      <c r="H65" s="313">
        <v>0</v>
      </c>
      <c r="I65" s="313">
        <v>0</v>
      </c>
      <c r="J65" s="313">
        <v>0</v>
      </c>
    </row>
    <row r="66" spans="1:10" ht="51" x14ac:dyDescent="0.25">
      <c r="A66" s="230" t="s">
        <v>239</v>
      </c>
      <c r="B66" s="229" t="str">
        <f>'таблица (всего)'!C62</f>
        <v>Оказание медицинской помощи лицам, инфицированным вирусом иммунодефицита человека, гепатитами В и С</v>
      </c>
      <c r="C66" s="225" t="s">
        <v>180</v>
      </c>
      <c r="D66" s="227">
        <f>D67</f>
        <v>24952300</v>
      </c>
      <c r="E66" s="227">
        <f t="shared" ref="E66:J67" si="29">E67</f>
        <v>16218864.6</v>
      </c>
      <c r="F66" s="313">
        <f t="shared" si="29"/>
        <v>16578868.699999999</v>
      </c>
      <c r="G66" s="313">
        <f t="shared" si="29"/>
        <v>10646794.26</v>
      </c>
      <c r="H66" s="313">
        <f t="shared" si="29"/>
        <v>10794404.15</v>
      </c>
      <c r="I66" s="313">
        <f t="shared" si="29"/>
        <v>10843546.01</v>
      </c>
      <c r="J66" s="313">
        <f t="shared" si="29"/>
        <v>13058851.5</v>
      </c>
    </row>
    <row r="67" spans="1:10" x14ac:dyDescent="0.25">
      <c r="A67" s="225"/>
      <c r="B67" s="226" t="s">
        <v>225</v>
      </c>
      <c r="C67" s="1085"/>
      <c r="D67" s="227">
        <f>D68</f>
        <v>24952300</v>
      </c>
      <c r="E67" s="227">
        <f t="shared" si="29"/>
        <v>16218864.6</v>
      </c>
      <c r="F67" s="313">
        <f t="shared" si="29"/>
        <v>16578868.699999999</v>
      </c>
      <c r="G67" s="313">
        <f t="shared" si="29"/>
        <v>10646794.26</v>
      </c>
      <c r="H67" s="313">
        <f t="shared" si="29"/>
        <v>10794404.15</v>
      </c>
      <c r="I67" s="313">
        <f t="shared" si="29"/>
        <v>10843546.01</v>
      </c>
      <c r="J67" s="313">
        <f t="shared" si="29"/>
        <v>13058851.5</v>
      </c>
    </row>
    <row r="68" spans="1:10" x14ac:dyDescent="0.25">
      <c r="A68" s="225"/>
      <c r="B68" s="226" t="s">
        <v>177</v>
      </c>
      <c r="C68" s="1085"/>
      <c r="D68" s="227">
        <f>'таблица (всего)'!D62</f>
        <v>24952300</v>
      </c>
      <c r="E68" s="227">
        <f>'таблица (всего)'!E62</f>
        <v>16218864.6</v>
      </c>
      <c r="F68" s="313">
        <f>'таблица (всего)'!F62</f>
        <v>16578868.699999999</v>
      </c>
      <c r="G68" s="313">
        <f>'таблица (всего)'!G62</f>
        <v>10646794.26</v>
      </c>
      <c r="H68" s="313">
        <f>'таблица (всего)'!H62</f>
        <v>10794404.15</v>
      </c>
      <c r="I68" s="313">
        <f>'таблица (всего)'!I62</f>
        <v>10843546.01</v>
      </c>
      <c r="J68" s="313">
        <f>'таблица (всего)'!J62</f>
        <v>13058851.5</v>
      </c>
    </row>
    <row r="69" spans="1:10" x14ac:dyDescent="0.25">
      <c r="A69" s="225"/>
      <c r="B69" s="226" t="s">
        <v>178</v>
      </c>
      <c r="C69" s="1085"/>
      <c r="D69" s="228" t="s">
        <v>227</v>
      </c>
      <c r="E69" s="228" t="s">
        <v>227</v>
      </c>
      <c r="F69" s="313">
        <v>0</v>
      </c>
      <c r="G69" s="313">
        <v>0</v>
      </c>
      <c r="H69" s="313">
        <v>0</v>
      </c>
      <c r="I69" s="313">
        <v>0</v>
      </c>
      <c r="J69" s="313">
        <v>0</v>
      </c>
    </row>
    <row r="70" spans="1:10" ht="51" x14ac:dyDescent="0.25">
      <c r="A70" s="230" t="s">
        <v>240</v>
      </c>
      <c r="B70" s="229" t="str">
        <f>'таблица (всего)'!C63</f>
        <v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v>
      </c>
      <c r="C70" s="225" t="s">
        <v>180</v>
      </c>
      <c r="D70" s="227">
        <f>D71</f>
        <v>191579239.53</v>
      </c>
      <c r="E70" s="227">
        <f t="shared" ref="E70:J70" si="30">E71</f>
        <v>201629900</v>
      </c>
      <c r="F70" s="313">
        <f t="shared" si="30"/>
        <v>178083300</v>
      </c>
      <c r="G70" s="313">
        <f t="shared" si="30"/>
        <v>0</v>
      </c>
      <c r="H70" s="313">
        <f t="shared" si="30"/>
        <v>0</v>
      </c>
      <c r="I70" s="313">
        <f t="shared" si="30"/>
        <v>0</v>
      </c>
      <c r="J70" s="313">
        <f t="shared" si="30"/>
        <v>0</v>
      </c>
    </row>
    <row r="71" spans="1:10" x14ac:dyDescent="0.25">
      <c r="A71" s="225"/>
      <c r="B71" s="226" t="s">
        <v>225</v>
      </c>
      <c r="C71" s="1085"/>
      <c r="D71" s="227">
        <f>D73</f>
        <v>191579239.53</v>
      </c>
      <c r="E71" s="227">
        <f t="shared" ref="E71:J71" si="31">E73</f>
        <v>201629900</v>
      </c>
      <c r="F71" s="313">
        <f t="shared" si="31"/>
        <v>178083300</v>
      </c>
      <c r="G71" s="313">
        <f t="shared" si="31"/>
        <v>0</v>
      </c>
      <c r="H71" s="313">
        <f t="shared" si="31"/>
        <v>0</v>
      </c>
      <c r="I71" s="313">
        <f t="shared" si="31"/>
        <v>0</v>
      </c>
      <c r="J71" s="313">
        <f t="shared" si="31"/>
        <v>0</v>
      </c>
    </row>
    <row r="72" spans="1:10" x14ac:dyDescent="0.25">
      <c r="A72" s="225"/>
      <c r="B72" s="226" t="s">
        <v>177</v>
      </c>
      <c r="C72" s="1085"/>
      <c r="D72" s="228" t="s">
        <v>227</v>
      </c>
      <c r="E72" s="228" t="s">
        <v>227</v>
      </c>
      <c r="F72" s="313">
        <v>0</v>
      </c>
      <c r="G72" s="313">
        <v>0</v>
      </c>
      <c r="H72" s="313">
        <v>0</v>
      </c>
      <c r="I72" s="313">
        <v>0</v>
      </c>
      <c r="J72" s="313">
        <v>0</v>
      </c>
    </row>
    <row r="73" spans="1:10" x14ac:dyDescent="0.25">
      <c r="A73" s="225"/>
      <c r="B73" s="226" t="s">
        <v>178</v>
      </c>
      <c r="C73" s="1085"/>
      <c r="D73" s="227">
        <f>'таблица (всего)'!D63</f>
        <v>191579239.53</v>
      </c>
      <c r="E73" s="227">
        <f>'таблица (всего)'!E63</f>
        <v>201629900</v>
      </c>
      <c r="F73" s="313">
        <f>'таблица (всего)'!F63</f>
        <v>178083300</v>
      </c>
      <c r="G73" s="313">
        <f>'таблица (всего)'!G63</f>
        <v>0</v>
      </c>
      <c r="H73" s="313">
        <f>'таблица (всего)'!H63</f>
        <v>0</v>
      </c>
      <c r="I73" s="313">
        <f>'таблица (всего)'!I63</f>
        <v>0</v>
      </c>
      <c r="J73" s="313">
        <f>'таблица (всего)'!J63</f>
        <v>0</v>
      </c>
    </row>
    <row r="74" spans="1:10" ht="51" x14ac:dyDescent="0.25">
      <c r="A74" s="230" t="s">
        <v>241</v>
      </c>
      <c r="B74" s="229" t="str">
        <f>'таблица (всего)'!C64</f>
        <v>Реализация мероприятий по профилактике ВИЧ-инфекции и гепатитов B и C</v>
      </c>
      <c r="C74" s="225" t="s">
        <v>180</v>
      </c>
      <c r="D74" s="227">
        <f>D75</f>
        <v>1134200</v>
      </c>
      <c r="E74" s="227">
        <f t="shared" ref="E74:J74" si="32">E75</f>
        <v>2565400</v>
      </c>
      <c r="F74" s="313">
        <f t="shared" si="32"/>
        <v>2519100</v>
      </c>
      <c r="G74" s="313">
        <f t="shared" si="32"/>
        <v>0</v>
      </c>
      <c r="H74" s="313">
        <f t="shared" si="32"/>
        <v>0</v>
      </c>
      <c r="I74" s="313">
        <f t="shared" si="32"/>
        <v>0</v>
      </c>
      <c r="J74" s="313">
        <f t="shared" si="32"/>
        <v>0</v>
      </c>
    </row>
    <row r="75" spans="1:10" x14ac:dyDescent="0.25">
      <c r="A75" s="225"/>
      <c r="B75" s="226" t="s">
        <v>225</v>
      </c>
      <c r="C75" s="1085"/>
      <c r="D75" s="227">
        <f>D77</f>
        <v>1134200</v>
      </c>
      <c r="E75" s="227">
        <f t="shared" ref="E75:J75" si="33">E77</f>
        <v>2565400</v>
      </c>
      <c r="F75" s="313">
        <f t="shared" si="33"/>
        <v>2519100</v>
      </c>
      <c r="G75" s="313">
        <f t="shared" si="33"/>
        <v>0</v>
      </c>
      <c r="H75" s="313">
        <f t="shared" si="33"/>
        <v>0</v>
      </c>
      <c r="I75" s="313">
        <f t="shared" si="33"/>
        <v>0</v>
      </c>
      <c r="J75" s="313">
        <f t="shared" si="33"/>
        <v>0</v>
      </c>
    </row>
    <row r="76" spans="1:10" x14ac:dyDescent="0.25">
      <c r="A76" s="225"/>
      <c r="B76" s="226" t="s">
        <v>177</v>
      </c>
      <c r="C76" s="1085"/>
      <c r="D76" s="228" t="s">
        <v>227</v>
      </c>
      <c r="E76" s="228" t="s">
        <v>227</v>
      </c>
      <c r="F76" s="313">
        <v>0</v>
      </c>
      <c r="G76" s="313">
        <v>0</v>
      </c>
      <c r="H76" s="313">
        <v>0</v>
      </c>
      <c r="I76" s="313">
        <v>0</v>
      </c>
      <c r="J76" s="313">
        <v>0</v>
      </c>
    </row>
    <row r="77" spans="1:10" x14ac:dyDescent="0.25">
      <c r="A77" s="225"/>
      <c r="B77" s="226" t="s">
        <v>178</v>
      </c>
      <c r="C77" s="1085"/>
      <c r="D77" s="227">
        <f>'таблица (всего)'!D64</f>
        <v>1134200</v>
      </c>
      <c r="E77" s="227">
        <f>'таблица (всего)'!E64</f>
        <v>2565400</v>
      </c>
      <c r="F77" s="313">
        <f>'таблица (всего)'!F64</f>
        <v>2519100</v>
      </c>
      <c r="G77" s="313">
        <f>'таблица (всего)'!G64</f>
        <v>0</v>
      </c>
      <c r="H77" s="313">
        <f>'таблица (всего)'!H64</f>
        <v>0</v>
      </c>
      <c r="I77" s="313">
        <f>'таблица (всего)'!I64</f>
        <v>0</v>
      </c>
      <c r="J77" s="313">
        <f>'таблица (всего)'!J64</f>
        <v>0</v>
      </c>
    </row>
  </sheetData>
  <mergeCells count="21">
    <mergeCell ref="I1:J1"/>
    <mergeCell ref="A2:J2"/>
    <mergeCell ref="A3:J3"/>
    <mergeCell ref="C59:C61"/>
    <mergeCell ref="C63:C65"/>
    <mergeCell ref="C19:C21"/>
    <mergeCell ref="C15:C17"/>
    <mergeCell ref="C7:C9"/>
    <mergeCell ref="C11:C13"/>
    <mergeCell ref="C67:C69"/>
    <mergeCell ref="C71:C73"/>
    <mergeCell ref="C75:C77"/>
    <mergeCell ref="C51:C53"/>
    <mergeCell ref="C23:C25"/>
    <mergeCell ref="C27:C29"/>
    <mergeCell ref="C55:C57"/>
    <mergeCell ref="C31:C33"/>
    <mergeCell ref="C35:C37"/>
    <mergeCell ref="C43:C45"/>
    <mergeCell ref="C47:C49"/>
    <mergeCell ref="C39:C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7"/>
  <sheetViews>
    <sheetView topLeftCell="A4" zoomScale="90" zoomScaleNormal="90" workbookViewId="0">
      <selection activeCell="I20" sqref="I20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0.75" customHeight="1" x14ac:dyDescent="0.25">
      <c r="I1" s="1086" t="s">
        <v>185</v>
      </c>
      <c r="J1" s="1086"/>
    </row>
    <row r="2" spans="1:17" ht="18.75" customHeight="1" x14ac:dyDescent="0.25">
      <c r="A2" s="1087" t="s">
        <v>186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3">
      <c r="A3" s="1088" t="s">
        <v>171</v>
      </c>
      <c r="B3" s="1088"/>
      <c r="C3" s="1088"/>
      <c r="D3" s="1088"/>
      <c r="E3" s="1088"/>
      <c r="F3" s="1088"/>
      <c r="G3" s="1088"/>
      <c r="H3" s="1088"/>
      <c r="I3" s="1088"/>
      <c r="J3" s="1088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50851700</v>
      </c>
      <c r="E6" s="227">
        <f t="shared" ref="E6:J7" si="0">E7</f>
        <v>50510497.270000003</v>
      </c>
      <c r="F6" s="227">
        <f t="shared" si="0"/>
        <v>50510200</v>
      </c>
      <c r="G6" s="227">
        <f t="shared" si="0"/>
        <v>0</v>
      </c>
      <c r="H6" s="227">
        <f t="shared" si="0"/>
        <v>0</v>
      </c>
      <c r="I6" s="227">
        <f t="shared" si="0"/>
        <v>0</v>
      </c>
      <c r="J6" s="227">
        <f t="shared" si="0"/>
        <v>0</v>
      </c>
      <c r="K6" s="222">
        <f>D6-'таблица (всего)'!D68</f>
        <v>0</v>
      </c>
      <c r="L6" s="222">
        <f>E6-'таблица (всего)'!E68</f>
        <v>0</v>
      </c>
      <c r="M6" s="222">
        <f>F6-'таблица (всего)'!F68</f>
        <v>0</v>
      </c>
      <c r="N6" s="222">
        <f>G6-'таблица (всего)'!G68</f>
        <v>-50510200</v>
      </c>
      <c r="O6" s="222">
        <f>H6-'таблица (всего)'!H68</f>
        <v>-50510200</v>
      </c>
      <c r="P6" s="222">
        <f>I6-'таблица (всего)'!I68</f>
        <v>-50510200</v>
      </c>
      <c r="Q6" s="222">
        <f>J6-'таблица (всего)'!J68</f>
        <v>-50510200</v>
      </c>
    </row>
    <row r="7" spans="1:17" x14ac:dyDescent="0.25">
      <c r="A7" s="225"/>
      <c r="B7" s="226" t="s">
        <v>225</v>
      </c>
      <c r="C7" s="1085"/>
      <c r="D7" s="227">
        <f>D8</f>
        <v>50851700</v>
      </c>
      <c r="E7" s="227">
        <f t="shared" si="0"/>
        <v>50510497.270000003</v>
      </c>
      <c r="F7" s="227">
        <f t="shared" si="0"/>
        <v>50510200</v>
      </c>
      <c r="G7" s="227">
        <f t="shared" si="0"/>
        <v>0</v>
      </c>
      <c r="H7" s="227">
        <f t="shared" si="0"/>
        <v>0</v>
      </c>
      <c r="I7" s="227">
        <f t="shared" si="0"/>
        <v>0</v>
      </c>
      <c r="J7" s="227">
        <f t="shared" si="0"/>
        <v>0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85"/>
      <c r="D8" s="227">
        <f>D12</f>
        <v>50851700</v>
      </c>
      <c r="E8" s="227">
        <f t="shared" ref="E8:J8" si="1">E12</f>
        <v>50510497.270000003</v>
      </c>
      <c r="F8" s="227">
        <f t="shared" si="1"/>
        <v>50510200</v>
      </c>
      <c r="G8" s="227">
        <f t="shared" si="1"/>
        <v>0</v>
      </c>
      <c r="H8" s="227">
        <f t="shared" si="1"/>
        <v>0</v>
      </c>
      <c r="I8" s="227">
        <f t="shared" si="1"/>
        <v>0</v>
      </c>
      <c r="J8" s="227">
        <f t="shared" si="1"/>
        <v>0</v>
      </c>
      <c r="K8" s="222">
        <f>D8-'таблица (всего)'!D70</f>
        <v>0</v>
      </c>
      <c r="L8" s="222">
        <f>E8-'таблица (всего)'!E70</f>
        <v>0</v>
      </c>
      <c r="M8" s="222">
        <f>F8-'таблица (всего)'!F70</f>
        <v>0</v>
      </c>
      <c r="N8" s="222">
        <f>G8-'таблица (всего)'!G70</f>
        <v>-50510200</v>
      </c>
      <c r="O8" s="222">
        <f>H8-'таблица (всего)'!H70</f>
        <v>-50510200</v>
      </c>
      <c r="P8" s="222">
        <f>I8-'таблица (всего)'!I70</f>
        <v>-50510200</v>
      </c>
      <c r="Q8" s="222">
        <f>J8-'таблица (всего)'!J70</f>
        <v>-50510200</v>
      </c>
    </row>
    <row r="9" spans="1:17" x14ac:dyDescent="0.25">
      <c r="A9" s="225"/>
      <c r="B9" s="226" t="s">
        <v>178</v>
      </c>
      <c r="C9" s="1085"/>
      <c r="D9" s="223" t="s">
        <v>227</v>
      </c>
      <c r="E9" s="223" t="s">
        <v>227</v>
      </c>
      <c r="F9" s="227">
        <v>0</v>
      </c>
      <c r="G9" s="227">
        <v>0</v>
      </c>
      <c r="H9" s="227">
        <v>0</v>
      </c>
      <c r="I9" s="227">
        <v>0</v>
      </c>
      <c r="J9" s="227">
        <v>0</v>
      </c>
    </row>
    <row r="10" spans="1:17" ht="51" x14ac:dyDescent="0.25">
      <c r="A10" s="225" t="s">
        <v>228</v>
      </c>
      <c r="B10" s="229" t="str">
        <f>'таблица (всего)'!C71</f>
        <v>«Оказание паллиативной помощи»</v>
      </c>
      <c r="C10" s="225" t="s">
        <v>180</v>
      </c>
      <c r="D10" s="227">
        <f>D11</f>
        <v>50851700</v>
      </c>
      <c r="E10" s="227">
        <f t="shared" ref="E10:J11" si="2">E11</f>
        <v>50510497.270000003</v>
      </c>
      <c r="F10" s="227">
        <f t="shared" si="2"/>
        <v>50510200</v>
      </c>
      <c r="G10" s="227">
        <f t="shared" si="2"/>
        <v>0</v>
      </c>
      <c r="H10" s="227">
        <f t="shared" si="2"/>
        <v>0</v>
      </c>
      <c r="I10" s="227">
        <f t="shared" si="2"/>
        <v>0</v>
      </c>
      <c r="J10" s="227">
        <f t="shared" si="2"/>
        <v>0</v>
      </c>
    </row>
    <row r="11" spans="1:17" x14ac:dyDescent="0.25">
      <c r="A11" s="225"/>
      <c r="B11" s="226" t="s">
        <v>225</v>
      </c>
      <c r="C11" s="1085"/>
      <c r="D11" s="227">
        <f>D12</f>
        <v>50851700</v>
      </c>
      <c r="E11" s="227">
        <f t="shared" si="2"/>
        <v>50510497.270000003</v>
      </c>
      <c r="F11" s="227">
        <f t="shared" si="2"/>
        <v>50510200</v>
      </c>
      <c r="G11" s="227">
        <f t="shared" si="2"/>
        <v>0</v>
      </c>
      <c r="H11" s="227">
        <f t="shared" si="2"/>
        <v>0</v>
      </c>
      <c r="I11" s="227">
        <f t="shared" si="2"/>
        <v>0</v>
      </c>
      <c r="J11" s="227">
        <f t="shared" si="2"/>
        <v>0</v>
      </c>
    </row>
    <row r="12" spans="1:17" x14ac:dyDescent="0.25">
      <c r="A12" s="225"/>
      <c r="B12" s="226" t="s">
        <v>177</v>
      </c>
      <c r="C12" s="1085"/>
      <c r="D12" s="227">
        <f>D16</f>
        <v>50851700</v>
      </c>
      <c r="E12" s="227">
        <f t="shared" ref="E12:J12" si="3">E16</f>
        <v>50510497.270000003</v>
      </c>
      <c r="F12" s="227">
        <f t="shared" si="3"/>
        <v>50510200</v>
      </c>
      <c r="G12" s="227">
        <f t="shared" si="3"/>
        <v>0</v>
      </c>
      <c r="H12" s="227">
        <f t="shared" si="3"/>
        <v>0</v>
      </c>
      <c r="I12" s="227">
        <f t="shared" si="3"/>
        <v>0</v>
      </c>
      <c r="J12" s="227">
        <f t="shared" si="3"/>
        <v>0</v>
      </c>
    </row>
    <row r="13" spans="1:17" x14ac:dyDescent="0.25">
      <c r="A13" s="225"/>
      <c r="B13" s="226" t="s">
        <v>178</v>
      </c>
      <c r="C13" s="1085"/>
      <c r="D13" s="223" t="s">
        <v>227</v>
      </c>
      <c r="E13" s="223" t="s">
        <v>227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</row>
    <row r="14" spans="1:17" ht="63.75" x14ac:dyDescent="0.25">
      <c r="A14" s="230" t="s">
        <v>234</v>
      </c>
      <c r="B14" s="229" t="str">
        <f>'таблица (всего)'!C72</f>
        <v>Иной межбюджетный трансферт бюджету территориального фонда обязательного медицинского страхования Ивановской области на финансовое обеспечение паллиативной медицинской помощи</v>
      </c>
      <c r="C14" s="225" t="s">
        <v>180</v>
      </c>
      <c r="D14" s="227">
        <f>D15</f>
        <v>50851700</v>
      </c>
      <c r="E14" s="227">
        <f t="shared" ref="E14:J15" si="4">E15</f>
        <v>50510497.270000003</v>
      </c>
      <c r="F14" s="227">
        <f t="shared" si="4"/>
        <v>50510200</v>
      </c>
      <c r="G14" s="227">
        <f t="shared" si="4"/>
        <v>0</v>
      </c>
      <c r="H14" s="227">
        <f t="shared" si="4"/>
        <v>0</v>
      </c>
      <c r="I14" s="227">
        <f t="shared" si="4"/>
        <v>0</v>
      </c>
      <c r="J14" s="227">
        <f t="shared" si="4"/>
        <v>0</v>
      </c>
    </row>
    <row r="15" spans="1:17" x14ac:dyDescent="0.25">
      <c r="A15" s="225"/>
      <c r="B15" s="226" t="s">
        <v>225</v>
      </c>
      <c r="C15" s="1085"/>
      <c r="D15" s="227">
        <f>D16</f>
        <v>50851700</v>
      </c>
      <c r="E15" s="227">
        <f t="shared" si="4"/>
        <v>50510497.270000003</v>
      </c>
      <c r="F15" s="227">
        <f t="shared" si="4"/>
        <v>50510200</v>
      </c>
      <c r="G15" s="227">
        <f t="shared" si="4"/>
        <v>0</v>
      </c>
      <c r="H15" s="227">
        <f t="shared" si="4"/>
        <v>0</v>
      </c>
      <c r="I15" s="227">
        <f t="shared" si="4"/>
        <v>0</v>
      </c>
      <c r="J15" s="227">
        <f t="shared" si="4"/>
        <v>0</v>
      </c>
    </row>
    <row r="16" spans="1:17" x14ac:dyDescent="0.25">
      <c r="A16" s="225"/>
      <c r="B16" s="226" t="s">
        <v>177</v>
      </c>
      <c r="C16" s="1085"/>
      <c r="D16" s="227">
        <f>'таблица (всего)'!D72</f>
        <v>50851700</v>
      </c>
      <c r="E16" s="227">
        <f>'таблица (всего)'!E72</f>
        <v>50510497.270000003</v>
      </c>
      <c r="F16" s="227">
        <f>'таблица (всего)'!F72</f>
        <v>50510200</v>
      </c>
      <c r="G16" s="227">
        <f>'таблица (всего)'!G72</f>
        <v>0</v>
      </c>
      <c r="H16" s="227">
        <f>'таблица (всего)'!H72</f>
        <v>0</v>
      </c>
      <c r="I16" s="227">
        <f>'таблица (всего)'!I72</f>
        <v>0</v>
      </c>
      <c r="J16" s="227">
        <f>'таблица (всего)'!J72</f>
        <v>0</v>
      </c>
    </row>
    <row r="17" spans="1:10" x14ac:dyDescent="0.25">
      <c r="A17" s="225"/>
      <c r="B17" s="226" t="s">
        <v>178</v>
      </c>
      <c r="C17" s="1085"/>
      <c r="D17" s="223" t="s">
        <v>227</v>
      </c>
      <c r="E17" s="223" t="s">
        <v>227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</row>
  </sheetData>
  <mergeCells count="6">
    <mergeCell ref="A2:J2"/>
    <mergeCell ref="A3:J3"/>
    <mergeCell ref="C15:C17"/>
    <mergeCell ref="I1:J1"/>
    <mergeCell ref="C7:C9"/>
    <mergeCell ref="C11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5"/>
  <sheetViews>
    <sheetView topLeftCell="A2" zoomScale="90" zoomScaleNormal="90" workbookViewId="0">
      <selection activeCell="I33" sqref="I33"/>
    </sheetView>
  </sheetViews>
  <sheetFormatPr defaultRowHeight="15" x14ac:dyDescent="0.25"/>
  <cols>
    <col min="1" max="1" width="4.140625" style="76" customWidth="1"/>
    <col min="2" max="2" width="45" style="219" customWidth="1"/>
    <col min="3" max="3" width="16.140625" style="76" customWidth="1"/>
    <col min="4" max="5" width="18.28515625" style="77" hidden="1" customWidth="1"/>
    <col min="6" max="6" width="18.28515625" style="77" customWidth="1"/>
    <col min="7" max="10" width="18.28515625" customWidth="1"/>
  </cols>
  <sheetData>
    <row r="1" spans="1:17" ht="92.25" customHeight="1" x14ac:dyDescent="0.25">
      <c r="I1" s="1086" t="s">
        <v>187</v>
      </c>
      <c r="J1" s="1086"/>
    </row>
    <row r="2" spans="1:17" ht="23.25" customHeight="1" x14ac:dyDescent="0.25">
      <c r="A2" s="1087" t="s">
        <v>188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3">
      <c r="A4" s="78"/>
      <c r="B4" s="220"/>
      <c r="C4" s="78"/>
      <c r="D4" s="78"/>
      <c r="E4" s="78"/>
      <c r="J4" s="79" t="s">
        <v>172</v>
      </c>
    </row>
    <row r="5" spans="1:17" ht="25.5" x14ac:dyDescent="0.25">
      <c r="A5" s="223" t="s">
        <v>173</v>
      </c>
      <c r="B5" s="224" t="s">
        <v>223</v>
      </c>
      <c r="C5" s="223" t="s">
        <v>175</v>
      </c>
      <c r="D5" s="223">
        <v>2014</v>
      </c>
      <c r="E5" s="223">
        <v>2015</v>
      </c>
      <c r="F5" s="223">
        <v>2016</v>
      </c>
      <c r="G5" s="223">
        <v>2017</v>
      </c>
      <c r="H5" s="223">
        <v>2018</v>
      </c>
      <c r="I5" s="223">
        <v>2019</v>
      </c>
      <c r="J5" s="223">
        <v>2020</v>
      </c>
    </row>
    <row r="6" spans="1:17" x14ac:dyDescent="0.25">
      <c r="A6" s="225"/>
      <c r="B6" s="226" t="s">
        <v>224</v>
      </c>
      <c r="C6" s="225"/>
      <c r="D6" s="227">
        <f>D7</f>
        <v>141277400</v>
      </c>
      <c r="E6" s="227">
        <f t="shared" ref="E6:J7" si="0">E7</f>
        <v>117113654.38</v>
      </c>
      <c r="F6" s="227">
        <f t="shared" si="0"/>
        <v>110823006.63</v>
      </c>
      <c r="G6" s="227">
        <f t="shared" si="0"/>
        <v>92612194.180000007</v>
      </c>
      <c r="H6" s="227">
        <f t="shared" si="0"/>
        <v>92612194.180000007</v>
      </c>
      <c r="I6" s="227">
        <f t="shared" si="0"/>
        <v>92612194.180000007</v>
      </c>
      <c r="J6" s="227">
        <f t="shared" si="0"/>
        <v>92612194.180000007</v>
      </c>
      <c r="K6" s="222">
        <f>D6-'таблица (всего)'!D74</f>
        <v>0</v>
      </c>
      <c r="L6" s="222">
        <f>E6-'таблица (всего)'!E74</f>
        <v>0</v>
      </c>
      <c r="M6" s="222">
        <f>F6-'таблица (всего)'!F74</f>
        <v>0</v>
      </c>
      <c r="N6" s="222">
        <f>G6-'таблица (всего)'!G74</f>
        <v>0</v>
      </c>
      <c r="O6" s="222">
        <f>H6-'таблица (всего)'!H74</f>
        <v>0</v>
      </c>
      <c r="P6" s="222">
        <f>I6-'таблица (всего)'!I74</f>
        <v>0</v>
      </c>
      <c r="Q6" s="222">
        <f>J6-'таблица (всего)'!J74</f>
        <v>0</v>
      </c>
    </row>
    <row r="7" spans="1:17" x14ac:dyDescent="0.25">
      <c r="A7" s="225"/>
      <c r="B7" s="226" t="s">
        <v>225</v>
      </c>
      <c r="C7" s="1085"/>
      <c r="D7" s="227">
        <f>D8</f>
        <v>141277400</v>
      </c>
      <c r="E7" s="227">
        <f t="shared" si="0"/>
        <v>117113654.38</v>
      </c>
      <c r="F7" s="227">
        <f t="shared" si="0"/>
        <v>110823006.63</v>
      </c>
      <c r="G7" s="227">
        <f t="shared" si="0"/>
        <v>92612194.180000007</v>
      </c>
      <c r="H7" s="227">
        <f t="shared" si="0"/>
        <v>92612194.180000007</v>
      </c>
      <c r="I7" s="227">
        <f t="shared" si="0"/>
        <v>92612194.180000007</v>
      </c>
      <c r="J7" s="227">
        <f t="shared" si="0"/>
        <v>92612194.180000007</v>
      </c>
      <c r="K7" s="234"/>
      <c r="L7" s="234"/>
      <c r="M7" s="234"/>
      <c r="N7" s="234"/>
      <c r="O7" s="234"/>
      <c r="P7" s="234"/>
      <c r="Q7" s="234"/>
    </row>
    <row r="8" spans="1:17" x14ac:dyDescent="0.25">
      <c r="A8" s="225"/>
      <c r="B8" s="226" t="s">
        <v>177</v>
      </c>
      <c r="C8" s="1085"/>
      <c r="D8" s="227">
        <f>D12</f>
        <v>141277400</v>
      </c>
      <c r="E8" s="227">
        <f t="shared" ref="E8:J8" si="1">E12</f>
        <v>117113654.38</v>
      </c>
      <c r="F8" s="227">
        <f t="shared" si="1"/>
        <v>110823006.63</v>
      </c>
      <c r="G8" s="227">
        <f t="shared" si="1"/>
        <v>92612194.180000007</v>
      </c>
      <c r="H8" s="227">
        <f t="shared" si="1"/>
        <v>92612194.180000007</v>
      </c>
      <c r="I8" s="227">
        <f t="shared" si="1"/>
        <v>92612194.180000007</v>
      </c>
      <c r="J8" s="227">
        <f t="shared" si="1"/>
        <v>92612194.180000007</v>
      </c>
      <c r="K8" s="222">
        <f>D8-'таблица (всего)'!D76</f>
        <v>0</v>
      </c>
      <c r="L8" s="222">
        <f>E8-'таблица (всего)'!E76</f>
        <v>0</v>
      </c>
      <c r="M8" s="222">
        <f>F8-'таблица (всего)'!F76</f>
        <v>0</v>
      </c>
      <c r="N8" s="222">
        <f>G8-'таблица (всего)'!G76</f>
        <v>0</v>
      </c>
      <c r="O8" s="222">
        <f>H8-'таблица (всего)'!H76</f>
        <v>0</v>
      </c>
      <c r="P8" s="222">
        <f>I8-'таблица (всего)'!I76</f>
        <v>0</v>
      </c>
      <c r="Q8" s="222">
        <f>J8-'таблица (всего)'!J76</f>
        <v>0</v>
      </c>
    </row>
    <row r="9" spans="1:17" x14ac:dyDescent="0.25">
      <c r="A9" s="225"/>
      <c r="B9" s="226" t="s">
        <v>178</v>
      </c>
      <c r="C9" s="1085"/>
      <c r="D9" s="228" t="s">
        <v>227</v>
      </c>
      <c r="E9" s="228" t="s">
        <v>227</v>
      </c>
      <c r="F9" s="227">
        <v>0</v>
      </c>
      <c r="G9" s="227">
        <v>0</v>
      </c>
      <c r="H9" s="227">
        <v>0</v>
      </c>
      <c r="I9" s="227">
        <v>0</v>
      </c>
      <c r="J9" s="227">
        <v>0</v>
      </c>
    </row>
    <row r="10" spans="1:17" ht="89.25" x14ac:dyDescent="0.25">
      <c r="A10" s="225" t="s">
        <v>228</v>
      </c>
      <c r="B10" s="229" t="str">
        <f>'таблица (всего)'!C77</f>
        <v xml:space="preserve"> «Осуществление бесперебойного и полного обеспечения донорской кровью и (или) ее компонентами медицинских организаций,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области»</v>
      </c>
      <c r="C10" s="225" t="s">
        <v>180</v>
      </c>
      <c r="D10" s="227">
        <f>D11</f>
        <v>141277400</v>
      </c>
      <c r="E10" s="227">
        <f t="shared" ref="E10:J11" si="2">E11</f>
        <v>117113654.38</v>
      </c>
      <c r="F10" s="227">
        <f t="shared" si="2"/>
        <v>110823006.63</v>
      </c>
      <c r="G10" s="227">
        <f t="shared" si="2"/>
        <v>92612194.180000007</v>
      </c>
      <c r="H10" s="227">
        <f t="shared" si="2"/>
        <v>92612194.180000007</v>
      </c>
      <c r="I10" s="227">
        <f t="shared" si="2"/>
        <v>92612194.180000007</v>
      </c>
      <c r="J10" s="227">
        <f t="shared" si="2"/>
        <v>92612194.180000007</v>
      </c>
    </row>
    <row r="11" spans="1:17" x14ac:dyDescent="0.25">
      <c r="A11" s="225"/>
      <c r="B11" s="226" t="s">
        <v>225</v>
      </c>
      <c r="C11" s="1085"/>
      <c r="D11" s="227">
        <f>D12</f>
        <v>141277400</v>
      </c>
      <c r="E11" s="227">
        <f t="shared" si="2"/>
        <v>117113654.38</v>
      </c>
      <c r="F11" s="227">
        <f t="shared" si="2"/>
        <v>110823006.63</v>
      </c>
      <c r="G11" s="227">
        <f t="shared" si="2"/>
        <v>92612194.180000007</v>
      </c>
      <c r="H11" s="227">
        <f t="shared" si="2"/>
        <v>92612194.180000007</v>
      </c>
      <c r="I11" s="227">
        <f t="shared" si="2"/>
        <v>92612194.180000007</v>
      </c>
      <c r="J11" s="227">
        <f t="shared" si="2"/>
        <v>92612194.180000007</v>
      </c>
    </row>
    <row r="12" spans="1:17" x14ac:dyDescent="0.25">
      <c r="A12" s="225"/>
      <c r="B12" s="226" t="s">
        <v>177</v>
      </c>
      <c r="C12" s="1085"/>
      <c r="D12" s="227">
        <f t="shared" ref="D12:J12" si="3">D16+D20+D24</f>
        <v>141277400</v>
      </c>
      <c r="E12" s="227">
        <f t="shared" si="3"/>
        <v>117113654.38</v>
      </c>
      <c r="F12" s="227">
        <f t="shared" si="3"/>
        <v>110823006.63</v>
      </c>
      <c r="G12" s="227">
        <f t="shared" si="3"/>
        <v>92612194.180000007</v>
      </c>
      <c r="H12" s="227">
        <f t="shared" si="3"/>
        <v>92612194.180000007</v>
      </c>
      <c r="I12" s="227">
        <f t="shared" si="3"/>
        <v>92612194.180000007</v>
      </c>
      <c r="J12" s="227">
        <f t="shared" si="3"/>
        <v>92612194.180000007</v>
      </c>
    </row>
    <row r="13" spans="1:17" x14ac:dyDescent="0.25">
      <c r="A13" s="225"/>
      <c r="B13" s="226" t="s">
        <v>178</v>
      </c>
      <c r="C13" s="1085"/>
      <c r="D13" s="228" t="s">
        <v>227</v>
      </c>
      <c r="E13" s="228" t="s">
        <v>227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</row>
    <row r="14" spans="1:17" ht="63.75" hidden="1" x14ac:dyDescent="0.25">
      <c r="A14" s="230" t="s">
        <v>234</v>
      </c>
      <c r="B14" s="229" t="str">
        <f>'таблица (всего)'!C78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4" s="225" t="s">
        <v>180</v>
      </c>
      <c r="D14" s="227">
        <f>D15</f>
        <v>2687500</v>
      </c>
      <c r="E14" s="227">
        <f t="shared" ref="E14:J15" si="4">E15</f>
        <v>0</v>
      </c>
      <c r="F14" s="227">
        <f t="shared" si="4"/>
        <v>0</v>
      </c>
      <c r="G14" s="227">
        <f t="shared" si="4"/>
        <v>0</v>
      </c>
      <c r="H14" s="227">
        <f t="shared" si="4"/>
        <v>0</v>
      </c>
      <c r="I14" s="227">
        <f t="shared" si="4"/>
        <v>0</v>
      </c>
      <c r="J14" s="227">
        <f t="shared" si="4"/>
        <v>0</v>
      </c>
    </row>
    <row r="15" spans="1:17" hidden="1" x14ac:dyDescent="0.25">
      <c r="A15" s="225"/>
      <c r="B15" s="226" t="s">
        <v>225</v>
      </c>
      <c r="C15" s="1085"/>
      <c r="D15" s="227">
        <f>D16</f>
        <v>2687500</v>
      </c>
      <c r="E15" s="227">
        <f t="shared" si="4"/>
        <v>0</v>
      </c>
      <c r="F15" s="227">
        <f t="shared" si="4"/>
        <v>0</v>
      </c>
      <c r="G15" s="227">
        <f t="shared" si="4"/>
        <v>0</v>
      </c>
      <c r="H15" s="227">
        <f t="shared" si="4"/>
        <v>0</v>
      </c>
      <c r="I15" s="227">
        <f t="shared" si="4"/>
        <v>0</v>
      </c>
      <c r="J15" s="227">
        <f t="shared" si="4"/>
        <v>0</v>
      </c>
    </row>
    <row r="16" spans="1:17" hidden="1" x14ac:dyDescent="0.25">
      <c r="A16" s="225"/>
      <c r="B16" s="226" t="s">
        <v>177</v>
      </c>
      <c r="C16" s="1085"/>
      <c r="D16" s="227">
        <f>'таблица (всего)'!D78</f>
        <v>2687500</v>
      </c>
      <c r="E16" s="227">
        <f>'таблица (всего)'!E78</f>
        <v>0</v>
      </c>
      <c r="F16" s="227">
        <f>'таблица (всего)'!F78</f>
        <v>0</v>
      </c>
      <c r="G16" s="227">
        <f>'таблица (всего)'!G78</f>
        <v>0</v>
      </c>
      <c r="H16" s="227">
        <f>'таблица (всего)'!H78</f>
        <v>0</v>
      </c>
      <c r="I16" s="227">
        <f>'таблица (всего)'!I78</f>
        <v>0</v>
      </c>
      <c r="J16" s="227">
        <f>'таблица (всего)'!J78</f>
        <v>0</v>
      </c>
    </row>
    <row r="17" spans="1:10" hidden="1" x14ac:dyDescent="0.25">
      <c r="A17" s="225"/>
      <c r="B17" s="226" t="s">
        <v>178</v>
      </c>
      <c r="C17" s="1085"/>
      <c r="D17" s="228" t="s">
        <v>227</v>
      </c>
      <c r="E17" s="228" t="s">
        <v>227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</row>
    <row r="18" spans="1:10" ht="51" x14ac:dyDescent="0.25">
      <c r="A18" s="230" t="s">
        <v>235</v>
      </c>
      <c r="B18" s="229" t="str">
        <f>'таблица (всего)'!C79</f>
        <v>Осуществление заготовки, хранения, транспортировки и обеспечения безопасности донорской крови и (или) ее компонентов</v>
      </c>
      <c r="C18" s="225" t="s">
        <v>180</v>
      </c>
      <c r="D18" s="227">
        <f>D19</f>
        <v>123496900</v>
      </c>
      <c r="E18" s="227">
        <f t="shared" ref="E18:J19" si="5">E19</f>
        <v>108470654.38</v>
      </c>
      <c r="F18" s="227">
        <f t="shared" si="5"/>
        <v>102180006.63</v>
      </c>
      <c r="G18" s="227">
        <f t="shared" si="5"/>
        <v>83969194.180000007</v>
      </c>
      <c r="H18" s="227">
        <f t="shared" si="5"/>
        <v>83969194.180000007</v>
      </c>
      <c r="I18" s="227">
        <f t="shared" si="5"/>
        <v>83969194.180000007</v>
      </c>
      <c r="J18" s="227">
        <f t="shared" si="5"/>
        <v>83969194.180000007</v>
      </c>
    </row>
    <row r="19" spans="1:10" x14ac:dyDescent="0.25">
      <c r="A19" s="225"/>
      <c r="B19" s="226" t="s">
        <v>225</v>
      </c>
      <c r="C19" s="1085"/>
      <c r="D19" s="227">
        <f>D20</f>
        <v>123496900</v>
      </c>
      <c r="E19" s="227">
        <f t="shared" si="5"/>
        <v>108470654.38</v>
      </c>
      <c r="F19" s="227">
        <f t="shared" si="5"/>
        <v>102180006.63</v>
      </c>
      <c r="G19" s="227">
        <f t="shared" si="5"/>
        <v>83969194.180000007</v>
      </c>
      <c r="H19" s="227">
        <f t="shared" si="5"/>
        <v>83969194.180000007</v>
      </c>
      <c r="I19" s="227">
        <f t="shared" si="5"/>
        <v>83969194.180000007</v>
      </c>
      <c r="J19" s="227">
        <f t="shared" si="5"/>
        <v>83969194.180000007</v>
      </c>
    </row>
    <row r="20" spans="1:10" x14ac:dyDescent="0.25">
      <c r="A20" s="225"/>
      <c r="B20" s="226" t="s">
        <v>177</v>
      </c>
      <c r="C20" s="1085"/>
      <c r="D20" s="227">
        <f>'таблица (всего)'!D79</f>
        <v>123496900</v>
      </c>
      <c r="E20" s="227">
        <f>'таблица (всего)'!E79</f>
        <v>108470654.38</v>
      </c>
      <c r="F20" s="227">
        <f>'таблица (всего)'!F79</f>
        <v>102180006.63</v>
      </c>
      <c r="G20" s="227">
        <f>'таблица (всего)'!G79</f>
        <v>83969194.180000007</v>
      </c>
      <c r="H20" s="227">
        <f>'таблица (всего)'!H79</f>
        <v>83969194.180000007</v>
      </c>
      <c r="I20" s="227">
        <f>'таблица (всего)'!I79</f>
        <v>83969194.180000007</v>
      </c>
      <c r="J20" s="227">
        <f>'таблица (всего)'!J79</f>
        <v>83969194.180000007</v>
      </c>
    </row>
    <row r="21" spans="1:10" x14ac:dyDescent="0.25">
      <c r="A21" s="225"/>
      <c r="B21" s="226" t="s">
        <v>178</v>
      </c>
      <c r="C21" s="1085"/>
      <c r="D21" s="228" t="s">
        <v>227</v>
      </c>
      <c r="E21" s="228" t="s">
        <v>227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</row>
    <row r="22" spans="1:10" ht="51" x14ac:dyDescent="0.25">
      <c r="A22" s="230" t="s">
        <v>246</v>
      </c>
      <c r="B22" s="229" t="str">
        <f>'таблица (всего)'!C80</f>
        <v>Обеспечение доноров, безвозмездно сдавших кровь и (или) ее компоненты, бесплатным питанием</v>
      </c>
      <c r="C22" s="225" t="s">
        <v>180</v>
      </c>
      <c r="D22" s="227">
        <f>D23</f>
        <v>15093000</v>
      </c>
      <c r="E22" s="227">
        <f t="shared" ref="E22:J23" si="6">E23</f>
        <v>8643000</v>
      </c>
      <c r="F22" s="227">
        <f t="shared" si="6"/>
        <v>8643000</v>
      </c>
      <c r="G22" s="227">
        <f t="shared" si="6"/>
        <v>8643000</v>
      </c>
      <c r="H22" s="227">
        <f t="shared" si="6"/>
        <v>8643000</v>
      </c>
      <c r="I22" s="227">
        <f t="shared" si="6"/>
        <v>8643000</v>
      </c>
      <c r="J22" s="227">
        <f t="shared" si="6"/>
        <v>8643000</v>
      </c>
    </row>
    <row r="23" spans="1:10" x14ac:dyDescent="0.25">
      <c r="A23" s="225"/>
      <c r="B23" s="226" t="s">
        <v>225</v>
      </c>
      <c r="C23" s="1085"/>
      <c r="D23" s="227">
        <f>D24</f>
        <v>15093000</v>
      </c>
      <c r="E23" s="227">
        <f t="shared" si="6"/>
        <v>8643000</v>
      </c>
      <c r="F23" s="227">
        <f t="shared" si="6"/>
        <v>8643000</v>
      </c>
      <c r="G23" s="227">
        <f t="shared" si="6"/>
        <v>8643000</v>
      </c>
      <c r="H23" s="227">
        <f t="shared" si="6"/>
        <v>8643000</v>
      </c>
      <c r="I23" s="227">
        <f t="shared" si="6"/>
        <v>8643000</v>
      </c>
      <c r="J23" s="227">
        <f t="shared" si="6"/>
        <v>8643000</v>
      </c>
    </row>
    <row r="24" spans="1:10" x14ac:dyDescent="0.25">
      <c r="A24" s="225"/>
      <c r="B24" s="226" t="s">
        <v>177</v>
      </c>
      <c r="C24" s="1085"/>
      <c r="D24" s="227">
        <f>'таблица (всего)'!D80</f>
        <v>15093000</v>
      </c>
      <c r="E24" s="227">
        <f>'таблица (всего)'!E80</f>
        <v>8643000</v>
      </c>
      <c r="F24" s="227">
        <f>'таблица (всего)'!F80</f>
        <v>8643000</v>
      </c>
      <c r="G24" s="227">
        <f>'таблица (всего)'!G80</f>
        <v>8643000</v>
      </c>
      <c r="H24" s="227">
        <f>'таблица (всего)'!H80</f>
        <v>8643000</v>
      </c>
      <c r="I24" s="227">
        <f>'таблица (всего)'!I80</f>
        <v>8643000</v>
      </c>
      <c r="J24" s="227">
        <f>'таблица (всего)'!J80</f>
        <v>8643000</v>
      </c>
    </row>
    <row r="25" spans="1:10" x14ac:dyDescent="0.25">
      <c r="A25" s="225"/>
      <c r="B25" s="226" t="s">
        <v>178</v>
      </c>
      <c r="C25" s="1085"/>
      <c r="D25" s="228" t="s">
        <v>227</v>
      </c>
      <c r="E25" s="228" t="s">
        <v>227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</row>
  </sheetData>
  <mergeCells count="8">
    <mergeCell ref="C19:C21"/>
    <mergeCell ref="C23:C25"/>
    <mergeCell ref="I1:J1"/>
    <mergeCell ref="C7:C9"/>
    <mergeCell ref="C11:C13"/>
    <mergeCell ref="C15:C17"/>
    <mergeCell ref="A2:J2"/>
    <mergeCell ref="A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74"/>
  <sheetViews>
    <sheetView zoomScale="90" zoomScaleNormal="90" workbookViewId="0">
      <selection activeCell="F74" sqref="F74:J74"/>
    </sheetView>
  </sheetViews>
  <sheetFormatPr defaultRowHeight="15" x14ac:dyDescent="0.25"/>
  <cols>
    <col min="1" max="1" width="6.28515625" style="236" customWidth="1"/>
    <col min="2" max="2" width="41" style="236" customWidth="1"/>
    <col min="3" max="3" width="15.5703125" style="236" customWidth="1"/>
    <col min="4" max="5" width="15.5703125" style="236" hidden="1" customWidth="1"/>
    <col min="6" max="10" width="15.5703125" style="312" customWidth="1"/>
    <col min="11" max="11" width="10.7109375" bestFit="1" customWidth="1"/>
  </cols>
  <sheetData>
    <row r="1" spans="1:17" ht="103.5" customHeight="1" x14ac:dyDescent="0.25">
      <c r="A1" s="232"/>
      <c r="B1" s="219"/>
      <c r="C1" s="232"/>
      <c r="D1" s="235"/>
      <c r="E1" s="235"/>
      <c r="F1" s="235"/>
      <c r="I1" s="1091" t="s">
        <v>189</v>
      </c>
      <c r="J1" s="1091"/>
    </row>
    <row r="2" spans="1:17" ht="18.75" x14ac:dyDescent="0.25">
      <c r="A2" s="1087" t="s">
        <v>259</v>
      </c>
      <c r="B2" s="1087"/>
      <c r="C2" s="1087"/>
      <c r="D2" s="1087"/>
      <c r="E2" s="1087"/>
      <c r="F2" s="1087"/>
      <c r="G2" s="1087"/>
      <c r="H2" s="1087"/>
      <c r="I2" s="1087"/>
      <c r="J2" s="1087"/>
    </row>
    <row r="3" spans="1:17" ht="18.75" x14ac:dyDescent="0.25">
      <c r="A3" s="1089" t="s">
        <v>171</v>
      </c>
      <c r="B3" s="1089"/>
      <c r="C3" s="1089"/>
      <c r="D3" s="1089"/>
      <c r="E3" s="1089"/>
      <c r="F3" s="1089"/>
      <c r="G3" s="1089"/>
      <c r="H3" s="1089"/>
      <c r="I3" s="1089"/>
      <c r="J3" s="1089"/>
    </row>
    <row r="4" spans="1:17" ht="18.75" x14ac:dyDescent="0.25">
      <c r="A4" s="233"/>
      <c r="B4" s="220"/>
      <c r="C4" s="233"/>
      <c r="D4" s="233"/>
      <c r="E4" s="233"/>
      <c r="F4" s="235"/>
      <c r="J4" s="79" t="s">
        <v>172</v>
      </c>
    </row>
    <row r="5" spans="1:17" ht="25.5" x14ac:dyDescent="0.25">
      <c r="A5" s="224" t="s">
        <v>173</v>
      </c>
      <c r="B5" s="224" t="s">
        <v>223</v>
      </c>
      <c r="C5" s="224" t="s">
        <v>175</v>
      </c>
      <c r="D5" s="224">
        <v>2014</v>
      </c>
      <c r="E5" s="224">
        <v>2015</v>
      </c>
      <c r="F5" s="311">
        <v>2016</v>
      </c>
      <c r="G5" s="311">
        <v>2017</v>
      </c>
      <c r="H5" s="311">
        <v>2018</v>
      </c>
      <c r="I5" s="311">
        <v>2019</v>
      </c>
      <c r="J5" s="311">
        <v>2020</v>
      </c>
    </row>
    <row r="6" spans="1:17" x14ac:dyDescent="0.25">
      <c r="A6" s="226"/>
      <c r="B6" s="226" t="s">
        <v>224</v>
      </c>
      <c r="C6" s="226"/>
      <c r="D6" s="147">
        <f>D7</f>
        <v>157719300</v>
      </c>
      <c r="E6" s="147">
        <f t="shared" ref="E6:J6" si="0">E7</f>
        <v>126417352.23999999</v>
      </c>
      <c r="F6" s="147">
        <f t="shared" si="0"/>
        <v>119638000.08999999</v>
      </c>
      <c r="G6" s="147">
        <f t="shared" si="0"/>
        <v>109456999.25999999</v>
      </c>
      <c r="H6" s="147">
        <f t="shared" si="0"/>
        <v>109456999.25999999</v>
      </c>
      <c r="I6" s="147">
        <f t="shared" si="0"/>
        <v>109456999.39</v>
      </c>
      <c r="J6" s="147">
        <f t="shared" si="0"/>
        <v>109456999.39</v>
      </c>
      <c r="K6" s="243">
        <f>D6-'таблица (всего)'!D81</f>
        <v>0</v>
      </c>
      <c r="L6" s="243">
        <f>E6-'таблица (всего)'!E81</f>
        <v>0</v>
      </c>
      <c r="M6" s="243">
        <f>F6-'таблица (всего)'!F81</f>
        <v>0</v>
      </c>
      <c r="N6" s="243">
        <f>G6-'таблица (всего)'!G81</f>
        <v>0</v>
      </c>
      <c r="O6" s="243">
        <f>H6-'таблица (всего)'!H81</f>
        <v>0</v>
      </c>
      <c r="P6" s="243">
        <f>I6-'таблица (всего)'!I81</f>
        <v>0</v>
      </c>
      <c r="Q6" s="243">
        <f>J6-'таблица (всего)'!J81</f>
        <v>0</v>
      </c>
    </row>
    <row r="7" spans="1:17" x14ac:dyDescent="0.25">
      <c r="A7" s="226"/>
      <c r="B7" s="226" t="s">
        <v>225</v>
      </c>
      <c r="C7" s="1092"/>
      <c r="D7" s="147">
        <f>D8+D10</f>
        <v>157719300</v>
      </c>
      <c r="E7" s="147">
        <f t="shared" ref="E7:J7" si="1">E8+E10</f>
        <v>126417352.23999999</v>
      </c>
      <c r="F7" s="147">
        <f t="shared" si="1"/>
        <v>119638000.08999999</v>
      </c>
      <c r="G7" s="147">
        <f t="shared" si="1"/>
        <v>109456999.25999999</v>
      </c>
      <c r="H7" s="147">
        <f t="shared" si="1"/>
        <v>109456999.25999999</v>
      </c>
      <c r="I7" s="147">
        <f t="shared" si="1"/>
        <v>109456999.39</v>
      </c>
      <c r="J7" s="147">
        <f t="shared" si="1"/>
        <v>109456999.39</v>
      </c>
      <c r="K7" s="244"/>
      <c r="L7" s="244"/>
      <c r="M7" s="244"/>
      <c r="N7" s="244"/>
      <c r="O7" s="244"/>
      <c r="P7" s="244"/>
      <c r="Q7" s="244"/>
    </row>
    <row r="8" spans="1:17" x14ac:dyDescent="0.25">
      <c r="A8" s="226"/>
      <c r="B8" s="226" t="s">
        <v>177</v>
      </c>
      <c r="C8" s="1093"/>
      <c r="D8" s="147">
        <f t="shared" ref="D8:J8" si="2">D15+D29+D41+D49+D57+D65</f>
        <v>157619300</v>
      </c>
      <c r="E8" s="147">
        <f t="shared" si="2"/>
        <v>126317352.23999999</v>
      </c>
      <c r="F8" s="147">
        <f t="shared" si="2"/>
        <v>119538000.08999999</v>
      </c>
      <c r="G8" s="147">
        <f t="shared" si="2"/>
        <v>109356999.25999999</v>
      </c>
      <c r="H8" s="147">
        <f t="shared" si="2"/>
        <v>109356999.25999999</v>
      </c>
      <c r="I8" s="147">
        <f t="shared" si="2"/>
        <v>109356999.39</v>
      </c>
      <c r="J8" s="147">
        <f t="shared" si="2"/>
        <v>109356999.39</v>
      </c>
      <c r="K8" s="243">
        <f>D8-'таблица (всего)'!D83+D10</f>
        <v>0</v>
      </c>
      <c r="L8" s="243">
        <f>E8-'таблица (всего)'!E83+E10</f>
        <v>0</v>
      </c>
      <c r="M8" s="243">
        <f>F8-'таблица (всего)'!F83+F10</f>
        <v>0</v>
      </c>
      <c r="N8" s="243">
        <f>G8-'таблица (всего)'!G83+G10</f>
        <v>0</v>
      </c>
      <c r="O8" s="243">
        <f>H8-'таблица (всего)'!H83+H10</f>
        <v>0</v>
      </c>
      <c r="P8" s="243">
        <f>I8-'таблица (всего)'!I83+I10</f>
        <v>0</v>
      </c>
      <c r="Q8" s="243">
        <f>J8-'таблица (всего)'!J83+J10</f>
        <v>0</v>
      </c>
    </row>
    <row r="9" spans="1:17" x14ac:dyDescent="0.25">
      <c r="A9" s="226"/>
      <c r="B9" s="226" t="s">
        <v>178</v>
      </c>
      <c r="C9" s="1093"/>
      <c r="D9" s="239" t="s">
        <v>227</v>
      </c>
      <c r="E9" s="239" t="s">
        <v>227</v>
      </c>
      <c r="F9" s="147">
        <v>0</v>
      </c>
      <c r="G9" s="147">
        <v>0</v>
      </c>
      <c r="H9" s="147">
        <v>0</v>
      </c>
      <c r="I9" s="147">
        <v>0</v>
      </c>
      <c r="J9" s="147">
        <v>0</v>
      </c>
    </row>
    <row r="10" spans="1:17" x14ac:dyDescent="0.25">
      <c r="A10" s="226"/>
      <c r="B10" s="226" t="s">
        <v>226</v>
      </c>
      <c r="C10" s="1093"/>
      <c r="D10" s="147">
        <f>D17</f>
        <v>100000</v>
      </c>
      <c r="E10" s="147">
        <f t="shared" ref="E10:J10" si="3">E17</f>
        <v>100000</v>
      </c>
      <c r="F10" s="147">
        <f t="shared" si="3"/>
        <v>100000</v>
      </c>
      <c r="G10" s="147">
        <f t="shared" si="3"/>
        <v>100000</v>
      </c>
      <c r="H10" s="147">
        <f t="shared" si="3"/>
        <v>100000</v>
      </c>
      <c r="I10" s="147">
        <f t="shared" si="3"/>
        <v>100000</v>
      </c>
      <c r="J10" s="147">
        <f t="shared" si="3"/>
        <v>100000</v>
      </c>
    </row>
    <row r="11" spans="1:17" x14ac:dyDescent="0.25">
      <c r="A11" s="226"/>
      <c r="B11" s="226" t="s">
        <v>179</v>
      </c>
      <c r="C11" s="1093"/>
      <c r="D11" s="239" t="s">
        <v>227</v>
      </c>
      <c r="E11" s="239" t="s">
        <v>227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O11" s="241"/>
    </row>
    <row r="12" spans="1:17" ht="27.75" customHeight="1" x14ac:dyDescent="0.25">
      <c r="A12" s="242"/>
      <c r="B12" s="226" t="s">
        <v>230</v>
      </c>
      <c r="C12" s="1094"/>
      <c r="D12" s="239" t="s">
        <v>227</v>
      </c>
      <c r="E12" s="239" t="s">
        <v>227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O12" s="238"/>
    </row>
    <row r="13" spans="1:17" ht="69" customHeight="1" x14ac:dyDescent="0.25">
      <c r="A13" s="226" t="s">
        <v>228</v>
      </c>
      <c r="B13" s="291" t="str">
        <f>'таблица (всего)'!C84</f>
        <v xml:space="preserve">«Выхаживание и содержание детей-сирот, детей, оставшихся без попечения родителей, и детей, находящихся в трудной жизненной ситуации, с рождения и до достижения ими возраста четырех лет включительно» </v>
      </c>
      <c r="C13" s="226" t="s">
        <v>180</v>
      </c>
      <c r="D13" s="147">
        <f>D14</f>
        <v>51325300</v>
      </c>
      <c r="E13" s="147">
        <f t="shared" ref="E13:J13" si="4">E14</f>
        <v>49569292</v>
      </c>
      <c r="F13" s="147">
        <f t="shared" si="4"/>
        <v>49041567.780000001</v>
      </c>
      <c r="G13" s="147">
        <f t="shared" si="4"/>
        <v>43585405.539999999</v>
      </c>
      <c r="H13" s="147">
        <f t="shared" si="4"/>
        <v>43585405.539999999</v>
      </c>
      <c r="I13" s="147">
        <f t="shared" si="4"/>
        <v>43585405.539999999</v>
      </c>
      <c r="J13" s="147">
        <f t="shared" si="4"/>
        <v>43585405.539999999</v>
      </c>
    </row>
    <row r="14" spans="1:17" x14ac:dyDescent="0.25">
      <c r="A14" s="226"/>
      <c r="B14" s="226" t="s">
        <v>225</v>
      </c>
      <c r="C14" s="1095"/>
      <c r="D14" s="147">
        <f>D15+D17</f>
        <v>51325300</v>
      </c>
      <c r="E14" s="147">
        <f t="shared" ref="E14:J14" si="5">E15+E17</f>
        <v>49569292</v>
      </c>
      <c r="F14" s="147">
        <f t="shared" si="5"/>
        <v>49041567.780000001</v>
      </c>
      <c r="G14" s="147">
        <f t="shared" si="5"/>
        <v>43585405.539999999</v>
      </c>
      <c r="H14" s="147">
        <f t="shared" si="5"/>
        <v>43585405.539999999</v>
      </c>
      <c r="I14" s="147">
        <f t="shared" si="5"/>
        <v>43585405.539999999</v>
      </c>
      <c r="J14" s="147">
        <f t="shared" si="5"/>
        <v>43585405.539999999</v>
      </c>
    </row>
    <row r="15" spans="1:17" x14ac:dyDescent="0.25">
      <c r="A15" s="226"/>
      <c r="B15" s="226" t="s">
        <v>177</v>
      </c>
      <c r="C15" s="1095"/>
      <c r="D15" s="147">
        <f t="shared" ref="D15:J15" si="6">D20+D24</f>
        <v>51225300</v>
      </c>
      <c r="E15" s="147">
        <f t="shared" si="6"/>
        <v>49469292</v>
      </c>
      <c r="F15" s="147">
        <f t="shared" si="6"/>
        <v>48941567.780000001</v>
      </c>
      <c r="G15" s="147">
        <f t="shared" si="6"/>
        <v>43485405.539999999</v>
      </c>
      <c r="H15" s="147">
        <f t="shared" si="6"/>
        <v>43485405.539999999</v>
      </c>
      <c r="I15" s="147">
        <f t="shared" si="6"/>
        <v>43485405.539999999</v>
      </c>
      <c r="J15" s="147">
        <f t="shared" si="6"/>
        <v>43485405.539999999</v>
      </c>
    </row>
    <row r="16" spans="1:17" x14ac:dyDescent="0.25">
      <c r="A16" s="226"/>
      <c r="B16" s="226" t="s">
        <v>178</v>
      </c>
      <c r="C16" s="1095"/>
      <c r="D16" s="239" t="s">
        <v>227</v>
      </c>
      <c r="E16" s="239" t="s">
        <v>227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</row>
    <row r="17" spans="1:10" x14ac:dyDescent="0.25">
      <c r="A17" s="226"/>
      <c r="B17" s="226" t="s">
        <v>226</v>
      </c>
      <c r="C17" s="1095"/>
      <c r="D17" s="147">
        <f>D26</f>
        <v>100000</v>
      </c>
      <c r="E17" s="147">
        <f t="shared" ref="E17:J17" si="7">E26</f>
        <v>100000</v>
      </c>
      <c r="F17" s="147">
        <f t="shared" si="7"/>
        <v>100000</v>
      </c>
      <c r="G17" s="147">
        <f t="shared" si="7"/>
        <v>100000</v>
      </c>
      <c r="H17" s="147">
        <f t="shared" si="7"/>
        <v>100000</v>
      </c>
      <c r="I17" s="147">
        <f t="shared" si="7"/>
        <v>100000</v>
      </c>
      <c r="J17" s="147">
        <f t="shared" si="7"/>
        <v>100000</v>
      </c>
    </row>
    <row r="18" spans="1:10" ht="70.5" customHeight="1" x14ac:dyDescent="0.25">
      <c r="A18" s="240" t="s">
        <v>234</v>
      </c>
      <c r="B18" s="229" t="str">
        <f>'таблица (всего)'!C85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18" s="226" t="s">
        <v>255</v>
      </c>
      <c r="D18" s="147">
        <f>D19</f>
        <v>743600</v>
      </c>
      <c r="E18" s="147">
        <f t="shared" ref="E18:J19" si="8">E19</f>
        <v>2333100</v>
      </c>
      <c r="F18" s="147">
        <f t="shared" si="8"/>
        <v>3281296.21</v>
      </c>
      <c r="G18" s="147">
        <f t="shared" si="8"/>
        <v>3281296.21</v>
      </c>
      <c r="H18" s="147">
        <f t="shared" si="8"/>
        <v>3281296.21</v>
      </c>
      <c r="I18" s="147">
        <f t="shared" si="8"/>
        <v>3281296.21</v>
      </c>
      <c r="J18" s="147">
        <f t="shared" si="8"/>
        <v>3281296.21</v>
      </c>
    </row>
    <row r="19" spans="1:10" x14ac:dyDescent="0.25">
      <c r="A19" s="226"/>
      <c r="B19" s="226" t="s">
        <v>225</v>
      </c>
      <c r="C19" s="1092"/>
      <c r="D19" s="147">
        <f>D20</f>
        <v>743600</v>
      </c>
      <c r="E19" s="147">
        <f t="shared" si="8"/>
        <v>2333100</v>
      </c>
      <c r="F19" s="147">
        <f t="shared" si="8"/>
        <v>3281296.21</v>
      </c>
      <c r="G19" s="147">
        <f t="shared" si="8"/>
        <v>3281296.21</v>
      </c>
      <c r="H19" s="147">
        <f t="shared" si="8"/>
        <v>3281296.21</v>
      </c>
      <c r="I19" s="147">
        <f t="shared" si="8"/>
        <v>3281296.21</v>
      </c>
      <c r="J19" s="147">
        <f t="shared" si="8"/>
        <v>3281296.21</v>
      </c>
    </row>
    <row r="20" spans="1:10" x14ac:dyDescent="0.25">
      <c r="A20" s="226"/>
      <c r="B20" s="226" t="s">
        <v>177</v>
      </c>
      <c r="C20" s="1093"/>
      <c r="D20" s="147">
        <f>'таблица (всего)'!D85</f>
        <v>743600</v>
      </c>
      <c r="E20" s="147">
        <f>'таблица (всего)'!E85</f>
        <v>2333100</v>
      </c>
      <c r="F20" s="147">
        <f>'таблица (всего)'!F85</f>
        <v>3281296.21</v>
      </c>
      <c r="G20" s="147">
        <f>'таблица (всего)'!G85</f>
        <v>3281296.21</v>
      </c>
      <c r="H20" s="147">
        <f>'таблица (всего)'!H85</f>
        <v>3281296.21</v>
      </c>
      <c r="I20" s="147">
        <f>'таблица (всего)'!I85</f>
        <v>3281296.21</v>
      </c>
      <c r="J20" s="147">
        <f>'таблица (всего)'!J85</f>
        <v>3281296.21</v>
      </c>
    </row>
    <row r="21" spans="1:10" x14ac:dyDescent="0.25">
      <c r="A21" s="226"/>
      <c r="B21" s="226" t="s">
        <v>178</v>
      </c>
      <c r="C21" s="1093"/>
      <c r="D21" s="239" t="s">
        <v>227</v>
      </c>
      <c r="E21" s="239" t="s">
        <v>227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</row>
    <row r="22" spans="1:10" ht="78" customHeight="1" x14ac:dyDescent="0.25">
      <c r="A22" s="240" t="s">
        <v>235</v>
      </c>
      <c r="B22" s="229" t="str">
        <f>'таблица (всего)'!C86</f>
        <v xml:space="preserve">Обеспечение содержания, воспитания, оказания медицинской и социальной помощи детям-сиротам и детям, оставшимся без попечения родителей, детям, находящимся в трудной жизненной ситуации, до достижения ими возраста четырех лет включительно
</v>
      </c>
      <c r="C22" s="226" t="s">
        <v>180</v>
      </c>
      <c r="D22" s="147">
        <f>D23</f>
        <v>50581700</v>
      </c>
      <c r="E22" s="147">
        <f t="shared" ref="E22:J22" si="9">E23</f>
        <v>47236192</v>
      </c>
      <c r="F22" s="147">
        <f t="shared" si="9"/>
        <v>45760271.57</v>
      </c>
      <c r="G22" s="147">
        <f t="shared" si="9"/>
        <v>40304109.329999998</v>
      </c>
      <c r="H22" s="147">
        <f t="shared" si="9"/>
        <v>40304109.329999998</v>
      </c>
      <c r="I22" s="147">
        <f t="shared" si="9"/>
        <v>40304109.329999998</v>
      </c>
      <c r="J22" s="147">
        <f t="shared" si="9"/>
        <v>40304109.329999998</v>
      </c>
    </row>
    <row r="23" spans="1:10" x14ac:dyDescent="0.25">
      <c r="A23" s="226"/>
      <c r="B23" s="226" t="s">
        <v>225</v>
      </c>
      <c r="C23" s="1095"/>
      <c r="D23" s="147">
        <f>'таблица (всего)'!D86</f>
        <v>50581700</v>
      </c>
      <c r="E23" s="147">
        <f>'таблица (всего)'!E86</f>
        <v>47236192</v>
      </c>
      <c r="F23" s="147">
        <f>'таблица (всего)'!F86</f>
        <v>45760271.57</v>
      </c>
      <c r="G23" s="147">
        <f>'таблица (всего)'!G86</f>
        <v>40304109.329999998</v>
      </c>
      <c r="H23" s="147">
        <f>'таблица (всего)'!H86</f>
        <v>40304109.329999998</v>
      </c>
      <c r="I23" s="147">
        <f>'таблица (всего)'!I86</f>
        <v>40304109.329999998</v>
      </c>
      <c r="J23" s="147">
        <f>'таблица (всего)'!J86</f>
        <v>40304109.329999998</v>
      </c>
    </row>
    <row r="24" spans="1:10" x14ac:dyDescent="0.25">
      <c r="A24" s="226"/>
      <c r="B24" s="226" t="s">
        <v>177</v>
      </c>
      <c r="C24" s="1095"/>
      <c r="D24" s="147">
        <f>D23-D26</f>
        <v>50481700</v>
      </c>
      <c r="E24" s="147">
        <f t="shared" ref="E24:J24" si="10">E23-E26</f>
        <v>47136192</v>
      </c>
      <c r="F24" s="147">
        <f t="shared" si="10"/>
        <v>45660271.57</v>
      </c>
      <c r="G24" s="147">
        <f t="shared" si="10"/>
        <v>40204109.329999998</v>
      </c>
      <c r="H24" s="147">
        <f t="shared" si="10"/>
        <v>40204109.329999998</v>
      </c>
      <c r="I24" s="147">
        <f t="shared" si="10"/>
        <v>40204109.329999998</v>
      </c>
      <c r="J24" s="147">
        <f t="shared" si="10"/>
        <v>40204109.329999998</v>
      </c>
    </row>
    <row r="25" spans="1:10" x14ac:dyDescent="0.25">
      <c r="A25" s="226"/>
      <c r="B25" s="226" t="s">
        <v>178</v>
      </c>
      <c r="C25" s="1095"/>
      <c r="D25" s="239" t="s">
        <v>227</v>
      </c>
      <c r="E25" s="239" t="s">
        <v>227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</row>
    <row r="26" spans="1:10" x14ac:dyDescent="0.25">
      <c r="A26" s="226"/>
      <c r="B26" s="226" t="s">
        <v>226</v>
      </c>
      <c r="C26" s="1095"/>
      <c r="D26" s="147">
        <v>100000</v>
      </c>
      <c r="E26" s="147">
        <v>100000</v>
      </c>
      <c r="F26" s="147">
        <v>100000</v>
      </c>
      <c r="G26" s="147">
        <v>100000</v>
      </c>
      <c r="H26" s="147">
        <v>100000</v>
      </c>
      <c r="I26" s="147">
        <v>100000</v>
      </c>
      <c r="J26" s="147">
        <v>100000</v>
      </c>
    </row>
    <row r="27" spans="1:10" ht="60.75" hidden="1" customHeight="1" x14ac:dyDescent="0.25">
      <c r="A27" s="226" t="s">
        <v>229</v>
      </c>
      <c r="B27" s="229" t="str">
        <f>'таблица (всего)'!C87</f>
        <v>«Оказание санаторно-оздоровительной помощи»</v>
      </c>
      <c r="C27" s="226" t="s">
        <v>180</v>
      </c>
      <c r="D27" s="147">
        <f>D28</f>
        <v>35919900</v>
      </c>
      <c r="E27" s="147">
        <f t="shared" ref="E27:J28" si="11">E28</f>
        <v>7146573.0099999998</v>
      </c>
      <c r="F27" s="147">
        <f t="shared" si="11"/>
        <v>0</v>
      </c>
      <c r="G27" s="147">
        <f t="shared" si="11"/>
        <v>0</v>
      </c>
      <c r="H27" s="147">
        <f t="shared" si="11"/>
        <v>0</v>
      </c>
      <c r="I27" s="147">
        <f t="shared" si="11"/>
        <v>0</v>
      </c>
      <c r="J27" s="147">
        <f t="shared" si="11"/>
        <v>0</v>
      </c>
    </row>
    <row r="28" spans="1:10" hidden="1" x14ac:dyDescent="0.25">
      <c r="A28" s="226"/>
      <c r="B28" s="226" t="s">
        <v>225</v>
      </c>
      <c r="C28" s="1095"/>
      <c r="D28" s="147">
        <f>D29</f>
        <v>35919900</v>
      </c>
      <c r="E28" s="147">
        <f t="shared" si="11"/>
        <v>7146573.0099999998</v>
      </c>
      <c r="F28" s="147">
        <f t="shared" si="11"/>
        <v>0</v>
      </c>
      <c r="G28" s="147">
        <f t="shared" si="11"/>
        <v>0</v>
      </c>
      <c r="H28" s="147">
        <f t="shared" si="11"/>
        <v>0</v>
      </c>
      <c r="I28" s="147">
        <f t="shared" si="11"/>
        <v>0</v>
      </c>
      <c r="J28" s="147">
        <f t="shared" si="11"/>
        <v>0</v>
      </c>
    </row>
    <row r="29" spans="1:10" hidden="1" x14ac:dyDescent="0.25">
      <c r="A29" s="226"/>
      <c r="B29" s="226" t="s">
        <v>177</v>
      </c>
      <c r="C29" s="1095"/>
      <c r="D29" s="147">
        <f t="shared" ref="D29:J29" si="12">D33+D37</f>
        <v>35919900</v>
      </c>
      <c r="E29" s="147">
        <f t="shared" si="12"/>
        <v>7146573.0099999998</v>
      </c>
      <c r="F29" s="147">
        <f t="shared" si="12"/>
        <v>0</v>
      </c>
      <c r="G29" s="147">
        <f t="shared" si="12"/>
        <v>0</v>
      </c>
      <c r="H29" s="147">
        <f t="shared" si="12"/>
        <v>0</v>
      </c>
      <c r="I29" s="147">
        <f t="shared" si="12"/>
        <v>0</v>
      </c>
      <c r="J29" s="147">
        <f t="shared" si="12"/>
        <v>0</v>
      </c>
    </row>
    <row r="30" spans="1:10" hidden="1" x14ac:dyDescent="0.25">
      <c r="A30" s="226"/>
      <c r="B30" s="226" t="s">
        <v>178</v>
      </c>
      <c r="C30" s="1095"/>
      <c r="D30" s="239" t="s">
        <v>227</v>
      </c>
      <c r="E30" s="239" t="s">
        <v>227</v>
      </c>
      <c r="F30" s="147" t="s">
        <v>227</v>
      </c>
      <c r="G30" s="147" t="s">
        <v>227</v>
      </c>
      <c r="H30" s="147" t="s">
        <v>227</v>
      </c>
      <c r="I30" s="147" t="s">
        <v>227</v>
      </c>
      <c r="J30" s="147" t="s">
        <v>227</v>
      </c>
    </row>
    <row r="31" spans="1:10" ht="76.5" hidden="1" x14ac:dyDescent="0.25">
      <c r="A31" s="240" t="s">
        <v>236</v>
      </c>
      <c r="B31" s="226" t="str">
        <f>'таблица (всего)'!C88</f>
        <v xml:space="preserve"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
</v>
      </c>
      <c r="C31" s="226" t="s">
        <v>180</v>
      </c>
      <c r="D31" s="147">
        <f>D32</f>
        <v>6692000</v>
      </c>
      <c r="E31" s="147">
        <f t="shared" ref="E31:J32" si="13">E32</f>
        <v>1133100.01</v>
      </c>
      <c r="F31" s="147">
        <f t="shared" si="13"/>
        <v>0</v>
      </c>
      <c r="G31" s="147">
        <f t="shared" si="13"/>
        <v>0</v>
      </c>
      <c r="H31" s="147">
        <f t="shared" si="13"/>
        <v>0</v>
      </c>
      <c r="I31" s="147">
        <f t="shared" si="13"/>
        <v>0</v>
      </c>
      <c r="J31" s="147">
        <f t="shared" si="13"/>
        <v>0</v>
      </c>
    </row>
    <row r="32" spans="1:10" hidden="1" x14ac:dyDescent="0.25">
      <c r="A32" s="226"/>
      <c r="B32" s="226" t="s">
        <v>225</v>
      </c>
      <c r="C32" s="1095"/>
      <c r="D32" s="147">
        <f>D33</f>
        <v>6692000</v>
      </c>
      <c r="E32" s="147">
        <f t="shared" si="13"/>
        <v>1133100.01</v>
      </c>
      <c r="F32" s="147">
        <f t="shared" si="13"/>
        <v>0</v>
      </c>
      <c r="G32" s="147">
        <f t="shared" si="13"/>
        <v>0</v>
      </c>
      <c r="H32" s="147">
        <f t="shared" si="13"/>
        <v>0</v>
      </c>
      <c r="I32" s="147">
        <f t="shared" si="13"/>
        <v>0</v>
      </c>
      <c r="J32" s="147">
        <f t="shared" si="13"/>
        <v>0</v>
      </c>
    </row>
    <row r="33" spans="1:10" hidden="1" x14ac:dyDescent="0.25">
      <c r="A33" s="226"/>
      <c r="B33" s="226" t="s">
        <v>177</v>
      </c>
      <c r="C33" s="1095"/>
      <c r="D33" s="147">
        <f>'таблица (всего)'!D88</f>
        <v>6692000</v>
      </c>
      <c r="E33" s="147">
        <f>'таблица (всего)'!E88</f>
        <v>1133100.01</v>
      </c>
      <c r="F33" s="147">
        <f>'таблица (всего)'!F88</f>
        <v>0</v>
      </c>
      <c r="G33" s="147">
        <f>'таблица (всего)'!G88</f>
        <v>0</v>
      </c>
      <c r="H33" s="147">
        <f>'таблица (всего)'!H88</f>
        <v>0</v>
      </c>
      <c r="I33" s="147">
        <f>'таблица (всего)'!I88</f>
        <v>0</v>
      </c>
      <c r="J33" s="147">
        <f>'таблица (всего)'!J88</f>
        <v>0</v>
      </c>
    </row>
    <row r="34" spans="1:10" hidden="1" x14ac:dyDescent="0.25">
      <c r="A34" s="226"/>
      <c r="B34" s="226" t="s">
        <v>178</v>
      </c>
      <c r="C34" s="1095"/>
      <c r="D34" s="239" t="s">
        <v>227</v>
      </c>
      <c r="E34" s="239" t="s">
        <v>227</v>
      </c>
      <c r="F34" s="147" t="s">
        <v>227</v>
      </c>
      <c r="G34" s="147" t="s">
        <v>227</v>
      </c>
      <c r="H34" s="147" t="s">
        <v>227</v>
      </c>
      <c r="I34" s="147" t="s">
        <v>227</v>
      </c>
      <c r="J34" s="147" t="s">
        <v>227</v>
      </c>
    </row>
    <row r="35" spans="1:10" ht="63.75" hidden="1" x14ac:dyDescent="0.25">
      <c r="A35" s="240" t="s">
        <v>237</v>
      </c>
      <c r="B35" s="226" t="str">
        <f>'таблица (всего)'!C89</f>
        <v xml:space="preserve">Предоставление санаторно-курортной помощи детям
</v>
      </c>
      <c r="C35" s="226" t="s">
        <v>180</v>
      </c>
      <c r="D35" s="147">
        <f>D36</f>
        <v>29227900</v>
      </c>
      <c r="E35" s="147">
        <f t="shared" ref="E35:J36" si="14">E36</f>
        <v>6013473</v>
      </c>
      <c r="F35" s="147">
        <f t="shared" si="14"/>
        <v>0</v>
      </c>
      <c r="G35" s="147">
        <f t="shared" si="14"/>
        <v>0</v>
      </c>
      <c r="H35" s="147">
        <f t="shared" si="14"/>
        <v>0</v>
      </c>
      <c r="I35" s="147">
        <f t="shared" si="14"/>
        <v>0</v>
      </c>
      <c r="J35" s="147">
        <f t="shared" si="14"/>
        <v>0</v>
      </c>
    </row>
    <row r="36" spans="1:10" hidden="1" x14ac:dyDescent="0.25">
      <c r="A36" s="226"/>
      <c r="B36" s="226" t="s">
        <v>225</v>
      </c>
      <c r="C36" s="1095"/>
      <c r="D36" s="147">
        <f>D37</f>
        <v>29227900</v>
      </c>
      <c r="E36" s="147">
        <f t="shared" si="14"/>
        <v>6013473</v>
      </c>
      <c r="F36" s="147">
        <f t="shared" si="14"/>
        <v>0</v>
      </c>
      <c r="G36" s="147">
        <f t="shared" si="14"/>
        <v>0</v>
      </c>
      <c r="H36" s="147">
        <f t="shared" si="14"/>
        <v>0</v>
      </c>
      <c r="I36" s="147">
        <f t="shared" si="14"/>
        <v>0</v>
      </c>
      <c r="J36" s="147">
        <f t="shared" si="14"/>
        <v>0</v>
      </c>
    </row>
    <row r="37" spans="1:10" hidden="1" x14ac:dyDescent="0.25">
      <c r="A37" s="226"/>
      <c r="B37" s="226" t="s">
        <v>177</v>
      </c>
      <c r="C37" s="1095"/>
      <c r="D37" s="147">
        <f>'таблица (всего)'!D89</f>
        <v>29227900</v>
      </c>
      <c r="E37" s="147">
        <f>'таблица (всего)'!E89</f>
        <v>6013473</v>
      </c>
      <c r="F37" s="147">
        <f>'таблица (всего)'!F89</f>
        <v>0</v>
      </c>
      <c r="G37" s="147">
        <f>'таблица (всего)'!G89</f>
        <v>0</v>
      </c>
      <c r="H37" s="147">
        <f>'таблица (всего)'!H89</f>
        <v>0</v>
      </c>
      <c r="I37" s="147">
        <f>'таблица (всего)'!I89</f>
        <v>0</v>
      </c>
      <c r="J37" s="147">
        <f>'таблица (всего)'!J89</f>
        <v>0</v>
      </c>
    </row>
    <row r="38" spans="1:10" hidden="1" x14ac:dyDescent="0.25">
      <c r="A38" s="226"/>
      <c r="B38" s="226" t="s">
        <v>178</v>
      </c>
      <c r="C38" s="1095"/>
      <c r="D38" s="239" t="s">
        <v>227</v>
      </c>
      <c r="E38" s="239" t="s">
        <v>227</v>
      </c>
      <c r="F38" s="147" t="s">
        <v>227</v>
      </c>
      <c r="G38" s="147" t="s">
        <v>227</v>
      </c>
      <c r="H38" s="147" t="s">
        <v>227</v>
      </c>
      <c r="I38" s="147" t="s">
        <v>227</v>
      </c>
      <c r="J38" s="147" t="s">
        <v>227</v>
      </c>
    </row>
    <row r="39" spans="1:10" ht="51" x14ac:dyDescent="0.25">
      <c r="A39" s="226" t="s">
        <v>231</v>
      </c>
      <c r="B39" s="229" t="str">
        <f>'таблица (всего)'!C90</f>
        <v>«Выполнение мероприятий, направленных на спасение жизни людей и защиту их здоровья при чрезвычайных ситуациях»</v>
      </c>
      <c r="C39" s="226" t="s">
        <v>180</v>
      </c>
      <c r="D39" s="147">
        <f>D40</f>
        <v>3748100</v>
      </c>
      <c r="E39" s="147">
        <f t="shared" ref="E39:J40" si="15">E40</f>
        <v>3608099.37</v>
      </c>
      <c r="F39" s="147">
        <f t="shared" si="15"/>
        <v>3608099.37</v>
      </c>
      <c r="G39" s="147">
        <f t="shared" si="15"/>
        <v>3371276.69</v>
      </c>
      <c r="H39" s="147">
        <f t="shared" si="15"/>
        <v>3371276.69</v>
      </c>
      <c r="I39" s="147">
        <f t="shared" si="15"/>
        <v>3371276.69</v>
      </c>
      <c r="J39" s="147">
        <f t="shared" si="15"/>
        <v>3371276.69</v>
      </c>
    </row>
    <row r="40" spans="1:10" x14ac:dyDescent="0.25">
      <c r="A40" s="226"/>
      <c r="B40" s="226" t="s">
        <v>225</v>
      </c>
      <c r="C40" s="1095"/>
      <c r="D40" s="147">
        <f>D41</f>
        <v>3748100</v>
      </c>
      <c r="E40" s="147">
        <f t="shared" si="15"/>
        <v>3608099.37</v>
      </c>
      <c r="F40" s="147">
        <f t="shared" si="15"/>
        <v>3608099.37</v>
      </c>
      <c r="G40" s="147">
        <f t="shared" si="15"/>
        <v>3371276.69</v>
      </c>
      <c r="H40" s="147">
        <f t="shared" si="15"/>
        <v>3371276.69</v>
      </c>
      <c r="I40" s="147">
        <f t="shared" si="15"/>
        <v>3371276.69</v>
      </c>
      <c r="J40" s="147">
        <f t="shared" si="15"/>
        <v>3371276.69</v>
      </c>
    </row>
    <row r="41" spans="1:10" x14ac:dyDescent="0.25">
      <c r="A41" s="226"/>
      <c r="B41" s="226" t="s">
        <v>177</v>
      </c>
      <c r="C41" s="1095"/>
      <c r="D41" s="147">
        <f>D45</f>
        <v>3748100</v>
      </c>
      <c r="E41" s="147">
        <f t="shared" ref="E41:J41" si="16">E45</f>
        <v>3608099.37</v>
      </c>
      <c r="F41" s="147">
        <f t="shared" si="16"/>
        <v>3608099.37</v>
      </c>
      <c r="G41" s="147">
        <f t="shared" si="16"/>
        <v>3371276.69</v>
      </c>
      <c r="H41" s="147">
        <f t="shared" si="16"/>
        <v>3371276.69</v>
      </c>
      <c r="I41" s="147">
        <f t="shared" si="16"/>
        <v>3371276.69</v>
      </c>
      <c r="J41" s="147">
        <f t="shared" si="16"/>
        <v>3371276.69</v>
      </c>
    </row>
    <row r="42" spans="1:10" x14ac:dyDescent="0.25">
      <c r="A42" s="226"/>
      <c r="B42" s="226" t="s">
        <v>178</v>
      </c>
      <c r="C42" s="1095"/>
      <c r="D42" s="239" t="s">
        <v>227</v>
      </c>
      <c r="E42" s="239" t="s">
        <v>227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</row>
    <row r="43" spans="1:10" ht="69" customHeight="1" x14ac:dyDescent="0.25">
      <c r="A43" s="240" t="s">
        <v>238</v>
      </c>
      <c r="B43" s="229" t="str">
        <f>'таблица (всего)'!C91</f>
        <v xml:space="preserve">Реализация мероприятий, направленных на медицинское обеспечение населения при чрезвычайных ситуациях, оказание экстренной и консультативной помощи, медицинской эвакуации при чрезвычайных ситуациях
</v>
      </c>
      <c r="C43" s="226" t="s">
        <v>180</v>
      </c>
      <c r="D43" s="147">
        <f>D44</f>
        <v>3748100</v>
      </c>
      <c r="E43" s="147">
        <f t="shared" ref="E43:J44" si="17">E44</f>
        <v>3608099.37</v>
      </c>
      <c r="F43" s="147">
        <f t="shared" si="17"/>
        <v>3608099.37</v>
      </c>
      <c r="G43" s="147">
        <f t="shared" si="17"/>
        <v>3371276.69</v>
      </c>
      <c r="H43" s="147">
        <f t="shared" si="17"/>
        <v>3371276.69</v>
      </c>
      <c r="I43" s="147">
        <f t="shared" si="17"/>
        <v>3371276.69</v>
      </c>
      <c r="J43" s="147">
        <f t="shared" si="17"/>
        <v>3371276.69</v>
      </c>
    </row>
    <row r="44" spans="1:10" x14ac:dyDescent="0.25">
      <c r="A44" s="226"/>
      <c r="B44" s="226" t="s">
        <v>225</v>
      </c>
      <c r="C44" s="1095"/>
      <c r="D44" s="147">
        <f>D45</f>
        <v>3748100</v>
      </c>
      <c r="E44" s="147">
        <f t="shared" si="17"/>
        <v>3608099.37</v>
      </c>
      <c r="F44" s="147">
        <f t="shared" si="17"/>
        <v>3608099.37</v>
      </c>
      <c r="G44" s="147">
        <f t="shared" si="17"/>
        <v>3371276.69</v>
      </c>
      <c r="H44" s="147">
        <f t="shared" si="17"/>
        <v>3371276.69</v>
      </c>
      <c r="I44" s="147">
        <f t="shared" si="17"/>
        <v>3371276.69</v>
      </c>
      <c r="J44" s="147">
        <f t="shared" si="17"/>
        <v>3371276.69</v>
      </c>
    </row>
    <row r="45" spans="1:10" x14ac:dyDescent="0.25">
      <c r="A45" s="226"/>
      <c r="B45" s="226" t="s">
        <v>177</v>
      </c>
      <c r="C45" s="1095"/>
      <c r="D45" s="147">
        <f>'таблица (всего)'!D91</f>
        <v>3748100</v>
      </c>
      <c r="E45" s="147">
        <f>'таблица (всего)'!E91</f>
        <v>3608099.37</v>
      </c>
      <c r="F45" s="147">
        <f>'таблица (всего)'!F91</f>
        <v>3608099.37</v>
      </c>
      <c r="G45" s="147">
        <f>'таблица (всего)'!G91</f>
        <v>3371276.69</v>
      </c>
      <c r="H45" s="147">
        <f>'таблица (всего)'!H91</f>
        <v>3371276.69</v>
      </c>
      <c r="I45" s="147">
        <f>'таблица (всего)'!I91</f>
        <v>3371276.69</v>
      </c>
      <c r="J45" s="147">
        <f>'таблица (всего)'!J91</f>
        <v>3371276.69</v>
      </c>
    </row>
    <row r="46" spans="1:10" x14ac:dyDescent="0.25">
      <c r="A46" s="226"/>
      <c r="B46" s="226" t="s">
        <v>178</v>
      </c>
      <c r="C46" s="1095"/>
      <c r="D46" s="239" t="s">
        <v>227</v>
      </c>
      <c r="E46" s="239" t="s">
        <v>227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</row>
    <row r="47" spans="1:10" ht="51" x14ac:dyDescent="0.25">
      <c r="A47" s="226" t="s">
        <v>232</v>
      </c>
      <c r="B47" s="229" t="str">
        <f>'таблица (всего)'!C92</f>
        <v xml:space="preserve"> «Формирование и сопровождение единой информационно-аналитической системы здравоохранения Ивановской области»</v>
      </c>
      <c r="C47" s="226" t="s">
        <v>180</v>
      </c>
      <c r="D47" s="147">
        <f>D48</f>
        <v>6590100</v>
      </c>
      <c r="E47" s="147">
        <f t="shared" ref="E47:J48" si="18">E48</f>
        <v>6029335.8600000003</v>
      </c>
      <c r="F47" s="147">
        <f t="shared" si="18"/>
        <v>6413870.2800000003</v>
      </c>
      <c r="G47" s="147">
        <f t="shared" si="18"/>
        <v>6705615.8700000001</v>
      </c>
      <c r="H47" s="147">
        <f t="shared" si="18"/>
        <v>6705615.8700000001</v>
      </c>
      <c r="I47" s="147">
        <f t="shared" si="18"/>
        <v>6705616</v>
      </c>
      <c r="J47" s="147">
        <f t="shared" si="18"/>
        <v>6705616</v>
      </c>
    </row>
    <row r="48" spans="1:10" x14ac:dyDescent="0.25">
      <c r="A48" s="226"/>
      <c r="B48" s="226" t="s">
        <v>225</v>
      </c>
      <c r="C48" s="1092"/>
      <c r="D48" s="147">
        <f>D49</f>
        <v>6590100</v>
      </c>
      <c r="E48" s="147">
        <f t="shared" si="18"/>
        <v>6029335.8600000003</v>
      </c>
      <c r="F48" s="147">
        <f t="shared" si="18"/>
        <v>6413870.2800000003</v>
      </c>
      <c r="G48" s="147">
        <f t="shared" si="18"/>
        <v>6705615.8700000001</v>
      </c>
      <c r="H48" s="147">
        <f t="shared" si="18"/>
        <v>6705615.8700000001</v>
      </c>
      <c r="I48" s="147">
        <f t="shared" si="18"/>
        <v>6705616</v>
      </c>
      <c r="J48" s="147">
        <f t="shared" si="18"/>
        <v>6705616</v>
      </c>
    </row>
    <row r="49" spans="1:10" x14ac:dyDescent="0.25">
      <c r="A49" s="226"/>
      <c r="B49" s="226" t="s">
        <v>177</v>
      </c>
      <c r="C49" s="1093"/>
      <c r="D49" s="147">
        <f>D53</f>
        <v>6590100</v>
      </c>
      <c r="E49" s="147">
        <f t="shared" ref="E49:J49" si="19">E53</f>
        <v>6029335.8600000003</v>
      </c>
      <c r="F49" s="147">
        <f t="shared" si="19"/>
        <v>6413870.2800000003</v>
      </c>
      <c r="G49" s="147">
        <f t="shared" si="19"/>
        <v>6705615.8700000001</v>
      </c>
      <c r="H49" s="147">
        <f t="shared" si="19"/>
        <v>6705615.8700000001</v>
      </c>
      <c r="I49" s="147">
        <f t="shared" si="19"/>
        <v>6705616</v>
      </c>
      <c r="J49" s="147">
        <f t="shared" si="19"/>
        <v>6705616</v>
      </c>
    </row>
    <row r="50" spans="1:10" x14ac:dyDescent="0.25">
      <c r="A50" s="226"/>
      <c r="B50" s="226" t="s">
        <v>178</v>
      </c>
      <c r="C50" s="1093"/>
      <c r="D50" s="239" t="s">
        <v>227</v>
      </c>
      <c r="E50" s="239" t="s">
        <v>227</v>
      </c>
      <c r="F50" s="147">
        <v>0</v>
      </c>
      <c r="G50" s="147">
        <v>0</v>
      </c>
      <c r="H50" s="147">
        <v>0</v>
      </c>
      <c r="I50" s="147">
        <v>0</v>
      </c>
      <c r="J50" s="147">
        <v>0</v>
      </c>
    </row>
    <row r="51" spans="1:10" ht="70.5" customHeight="1" x14ac:dyDescent="0.25">
      <c r="A51" s="240" t="s">
        <v>242</v>
      </c>
      <c r="B51" s="229" t="str">
        <f>'таблица (всего)'!C93</f>
        <v xml:space="preserve">Обеспечение деятельности единой информационно-аналитической системы здравоохранения Ивановской области, направленной на своевременное и достоверное предоставление информации
</v>
      </c>
      <c r="C51" s="226" t="s">
        <v>180</v>
      </c>
      <c r="D51" s="147">
        <f>D52</f>
        <v>6590100</v>
      </c>
      <c r="E51" s="147">
        <f t="shared" ref="E51:J52" si="20">E52</f>
        <v>6029335.8600000003</v>
      </c>
      <c r="F51" s="147">
        <f t="shared" si="20"/>
        <v>6413870.2800000003</v>
      </c>
      <c r="G51" s="147">
        <f t="shared" si="20"/>
        <v>6705615.8700000001</v>
      </c>
      <c r="H51" s="147">
        <f t="shared" si="20"/>
        <v>6705615.8700000001</v>
      </c>
      <c r="I51" s="147">
        <f t="shared" si="20"/>
        <v>6705616</v>
      </c>
      <c r="J51" s="147">
        <f t="shared" si="20"/>
        <v>6705616</v>
      </c>
    </row>
    <row r="52" spans="1:10" x14ac:dyDescent="0.25">
      <c r="A52" s="226"/>
      <c r="B52" s="226" t="s">
        <v>225</v>
      </c>
      <c r="C52" s="1092"/>
      <c r="D52" s="147">
        <f>D53</f>
        <v>6590100</v>
      </c>
      <c r="E52" s="147">
        <f t="shared" si="20"/>
        <v>6029335.8600000003</v>
      </c>
      <c r="F52" s="147">
        <f t="shared" si="20"/>
        <v>6413870.2800000003</v>
      </c>
      <c r="G52" s="147">
        <f t="shared" si="20"/>
        <v>6705615.8700000001</v>
      </c>
      <c r="H52" s="147">
        <f t="shared" si="20"/>
        <v>6705615.8700000001</v>
      </c>
      <c r="I52" s="147">
        <f t="shared" si="20"/>
        <v>6705616</v>
      </c>
      <c r="J52" s="147">
        <f t="shared" si="20"/>
        <v>6705616</v>
      </c>
    </row>
    <row r="53" spans="1:10" x14ac:dyDescent="0.25">
      <c r="A53" s="226"/>
      <c r="B53" s="226" t="s">
        <v>177</v>
      </c>
      <c r="C53" s="1093"/>
      <c r="D53" s="147">
        <f>'таблица (всего)'!D93</f>
        <v>6590100</v>
      </c>
      <c r="E53" s="147">
        <f>'таблица (всего)'!E93</f>
        <v>6029335.8600000003</v>
      </c>
      <c r="F53" s="147">
        <f>'таблица (всего)'!F93</f>
        <v>6413870.2800000003</v>
      </c>
      <c r="G53" s="147">
        <f>'таблица (всего)'!G93</f>
        <v>6705615.8700000001</v>
      </c>
      <c r="H53" s="147">
        <f>'таблица (всего)'!H93</f>
        <v>6705615.8700000001</v>
      </c>
      <c r="I53" s="147">
        <f>'таблица (всего)'!I93</f>
        <v>6705616</v>
      </c>
      <c r="J53" s="147">
        <f>'таблица (всего)'!J93</f>
        <v>6705616</v>
      </c>
    </row>
    <row r="54" spans="1:10" x14ac:dyDescent="0.25">
      <c r="A54" s="226"/>
      <c r="B54" s="226" t="s">
        <v>178</v>
      </c>
      <c r="C54" s="1093"/>
      <c r="D54" s="239" t="s">
        <v>227</v>
      </c>
      <c r="E54" s="239" t="s">
        <v>227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</row>
    <row r="55" spans="1:10" ht="63.75" x14ac:dyDescent="0.25">
      <c r="A55" s="226" t="s">
        <v>233</v>
      </c>
      <c r="B55" s="229" t="str">
        <f>'таблица (всего)'!C94</f>
        <v>«Выполнение мероприятий по размещению, хранению, освежению, замене материальных ценностей мобилизационного резерва медицинского и санитарно-хозяйственного назначения»</v>
      </c>
      <c r="C55" s="226" t="s">
        <v>180</v>
      </c>
      <c r="D55" s="147">
        <f>D56</f>
        <v>22438000</v>
      </c>
      <c r="E55" s="147">
        <f t="shared" ref="E55:J56" si="21">E56</f>
        <v>21243452</v>
      </c>
      <c r="F55" s="147">
        <f t="shared" si="21"/>
        <v>22190295.579999998</v>
      </c>
      <c r="G55" s="147">
        <f t="shared" si="21"/>
        <v>19198596.66</v>
      </c>
      <c r="H55" s="147">
        <f t="shared" si="21"/>
        <v>19198596.66</v>
      </c>
      <c r="I55" s="147">
        <f t="shared" si="21"/>
        <v>19198596.66</v>
      </c>
      <c r="J55" s="147">
        <f t="shared" si="21"/>
        <v>19198596.66</v>
      </c>
    </row>
    <row r="56" spans="1:10" x14ac:dyDescent="0.25">
      <c r="A56" s="226"/>
      <c r="B56" s="226" t="s">
        <v>225</v>
      </c>
      <c r="C56" s="1092"/>
      <c r="D56" s="147">
        <f>D57</f>
        <v>22438000</v>
      </c>
      <c r="E56" s="147">
        <f t="shared" si="21"/>
        <v>21243452</v>
      </c>
      <c r="F56" s="147">
        <f t="shared" si="21"/>
        <v>22190295.579999998</v>
      </c>
      <c r="G56" s="147">
        <f t="shared" si="21"/>
        <v>19198596.66</v>
      </c>
      <c r="H56" s="147">
        <f t="shared" si="21"/>
        <v>19198596.66</v>
      </c>
      <c r="I56" s="147">
        <f t="shared" si="21"/>
        <v>19198596.66</v>
      </c>
      <c r="J56" s="147">
        <f t="shared" si="21"/>
        <v>19198596.66</v>
      </c>
    </row>
    <row r="57" spans="1:10" x14ac:dyDescent="0.25">
      <c r="A57" s="226"/>
      <c r="B57" s="226" t="s">
        <v>177</v>
      </c>
      <c r="C57" s="1093"/>
      <c r="D57" s="147">
        <f>D61</f>
        <v>22438000</v>
      </c>
      <c r="E57" s="147">
        <f t="shared" ref="E57:J57" si="22">E61</f>
        <v>21243452</v>
      </c>
      <c r="F57" s="147">
        <f t="shared" si="22"/>
        <v>22190295.579999998</v>
      </c>
      <c r="G57" s="147">
        <f t="shared" si="22"/>
        <v>19198596.66</v>
      </c>
      <c r="H57" s="147">
        <f t="shared" si="22"/>
        <v>19198596.66</v>
      </c>
      <c r="I57" s="147">
        <f t="shared" si="22"/>
        <v>19198596.66</v>
      </c>
      <c r="J57" s="147">
        <f t="shared" si="22"/>
        <v>19198596.66</v>
      </c>
    </row>
    <row r="58" spans="1:10" x14ac:dyDescent="0.25">
      <c r="A58" s="226"/>
      <c r="B58" s="226" t="s">
        <v>178</v>
      </c>
      <c r="C58" s="1093"/>
      <c r="D58" s="239" t="s">
        <v>227</v>
      </c>
      <c r="E58" s="239" t="s">
        <v>227</v>
      </c>
      <c r="F58" s="147">
        <v>0</v>
      </c>
      <c r="G58" s="147">
        <v>0</v>
      </c>
      <c r="H58" s="147">
        <v>0</v>
      </c>
      <c r="I58" s="147">
        <v>0</v>
      </c>
      <c r="J58" s="147">
        <v>0</v>
      </c>
    </row>
    <row r="59" spans="1:10" ht="76.5" x14ac:dyDescent="0.25">
      <c r="A59" s="240" t="s">
        <v>244</v>
      </c>
      <c r="B59" s="229" t="str">
        <f>'таблица (всего)'!C95</f>
        <v xml:space="preserve">Реализация мероприятий, направленных на количественную и качественную сохранность материалов, принятых на ответственное хранение, и пригодность к длительному хранению
</v>
      </c>
      <c r="C59" s="226" t="s">
        <v>180</v>
      </c>
      <c r="D59" s="147">
        <f>D60</f>
        <v>22438000</v>
      </c>
      <c r="E59" s="147">
        <f t="shared" ref="E59:J60" si="23">E60</f>
        <v>21243452</v>
      </c>
      <c r="F59" s="147">
        <f t="shared" si="23"/>
        <v>22190295.579999998</v>
      </c>
      <c r="G59" s="147">
        <f t="shared" si="23"/>
        <v>19198596.66</v>
      </c>
      <c r="H59" s="147">
        <f t="shared" si="23"/>
        <v>19198596.66</v>
      </c>
      <c r="I59" s="147">
        <f t="shared" si="23"/>
        <v>19198596.66</v>
      </c>
      <c r="J59" s="147">
        <f t="shared" si="23"/>
        <v>19198596.66</v>
      </c>
    </row>
    <row r="60" spans="1:10" x14ac:dyDescent="0.25">
      <c r="A60" s="226"/>
      <c r="B60" s="226" t="s">
        <v>225</v>
      </c>
      <c r="C60" s="1092"/>
      <c r="D60" s="147">
        <f>D61</f>
        <v>22438000</v>
      </c>
      <c r="E60" s="147">
        <f t="shared" si="23"/>
        <v>21243452</v>
      </c>
      <c r="F60" s="147">
        <f t="shared" si="23"/>
        <v>22190295.579999998</v>
      </c>
      <c r="G60" s="147">
        <f t="shared" si="23"/>
        <v>19198596.66</v>
      </c>
      <c r="H60" s="147">
        <f t="shared" si="23"/>
        <v>19198596.66</v>
      </c>
      <c r="I60" s="147">
        <f t="shared" si="23"/>
        <v>19198596.66</v>
      </c>
      <c r="J60" s="147">
        <f t="shared" si="23"/>
        <v>19198596.66</v>
      </c>
    </row>
    <row r="61" spans="1:10" x14ac:dyDescent="0.25">
      <c r="A61" s="226"/>
      <c r="B61" s="226" t="s">
        <v>177</v>
      </c>
      <c r="C61" s="1093"/>
      <c r="D61" s="147">
        <f>'таблица (всего)'!D95</f>
        <v>22438000</v>
      </c>
      <c r="E61" s="147">
        <f>'таблица (всего)'!E95</f>
        <v>21243452</v>
      </c>
      <c r="F61" s="147">
        <f>'таблица (всего)'!F95</f>
        <v>22190295.579999998</v>
      </c>
      <c r="G61" s="147">
        <f>'таблица (всего)'!G95</f>
        <v>19198596.66</v>
      </c>
      <c r="H61" s="147">
        <f>'таблица (всего)'!H95</f>
        <v>19198596.66</v>
      </c>
      <c r="I61" s="147">
        <f>'таблица (всего)'!I95</f>
        <v>19198596.66</v>
      </c>
      <c r="J61" s="147">
        <f>'таблица (всего)'!J95</f>
        <v>19198596.66</v>
      </c>
    </row>
    <row r="62" spans="1:10" x14ac:dyDescent="0.25">
      <c r="A62" s="226"/>
      <c r="B62" s="226" t="s">
        <v>178</v>
      </c>
      <c r="C62" s="1093"/>
      <c r="D62" s="239" t="s">
        <v>227</v>
      </c>
      <c r="E62" s="239" t="s">
        <v>227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</row>
    <row r="63" spans="1:10" ht="51" x14ac:dyDescent="0.25">
      <c r="A63" s="226" t="s">
        <v>256</v>
      </c>
      <c r="B63" s="229" t="str">
        <f>'таблица (всего)'!C96</f>
        <v xml:space="preserve">«Судебно-медицинская экспертиза» </v>
      </c>
      <c r="C63" s="226" t="s">
        <v>180</v>
      </c>
      <c r="D63" s="147">
        <f>D64</f>
        <v>37697900</v>
      </c>
      <c r="E63" s="147">
        <f t="shared" ref="E63:J64" si="24">E64</f>
        <v>38820600</v>
      </c>
      <c r="F63" s="147">
        <f t="shared" si="24"/>
        <v>38384167.079999998</v>
      </c>
      <c r="G63" s="147">
        <f t="shared" si="24"/>
        <v>36596104.5</v>
      </c>
      <c r="H63" s="147">
        <f t="shared" si="24"/>
        <v>36596104.5</v>
      </c>
      <c r="I63" s="147">
        <f t="shared" si="24"/>
        <v>36596104.5</v>
      </c>
      <c r="J63" s="147">
        <f t="shared" si="24"/>
        <v>36596104.5</v>
      </c>
    </row>
    <row r="64" spans="1:10" x14ac:dyDescent="0.25">
      <c r="A64" s="226"/>
      <c r="B64" s="226" t="s">
        <v>225</v>
      </c>
      <c r="C64" s="1092"/>
      <c r="D64" s="147">
        <f>D65</f>
        <v>37697900</v>
      </c>
      <c r="E64" s="147">
        <f t="shared" si="24"/>
        <v>38820600</v>
      </c>
      <c r="F64" s="147">
        <f t="shared" si="24"/>
        <v>38384167.079999998</v>
      </c>
      <c r="G64" s="147">
        <f t="shared" si="24"/>
        <v>36596104.5</v>
      </c>
      <c r="H64" s="147">
        <f t="shared" si="24"/>
        <v>36596104.5</v>
      </c>
      <c r="I64" s="147">
        <f t="shared" si="24"/>
        <v>36596104.5</v>
      </c>
      <c r="J64" s="147">
        <f t="shared" si="24"/>
        <v>36596104.5</v>
      </c>
    </row>
    <row r="65" spans="1:10" x14ac:dyDescent="0.25">
      <c r="A65" s="226"/>
      <c r="B65" s="226" t="s">
        <v>177</v>
      </c>
      <c r="C65" s="1093"/>
      <c r="D65" s="147">
        <f t="shared" ref="D65:J65" si="25">D69+D73</f>
        <v>37697900</v>
      </c>
      <c r="E65" s="147">
        <f t="shared" si="25"/>
        <v>38820600</v>
      </c>
      <c r="F65" s="147">
        <f t="shared" si="25"/>
        <v>38384167.079999998</v>
      </c>
      <c r="G65" s="147">
        <f t="shared" si="25"/>
        <v>36596104.5</v>
      </c>
      <c r="H65" s="147">
        <f t="shared" si="25"/>
        <v>36596104.5</v>
      </c>
      <c r="I65" s="147">
        <f t="shared" si="25"/>
        <v>36596104.5</v>
      </c>
      <c r="J65" s="147">
        <f t="shared" si="25"/>
        <v>36596104.5</v>
      </c>
    </row>
    <row r="66" spans="1:10" x14ac:dyDescent="0.25">
      <c r="A66" s="226"/>
      <c r="B66" s="226" t="s">
        <v>178</v>
      </c>
      <c r="C66" s="1093"/>
      <c r="D66" s="239" t="s">
        <v>227</v>
      </c>
      <c r="E66" s="239" t="s">
        <v>227</v>
      </c>
      <c r="F66" s="147">
        <v>0</v>
      </c>
      <c r="G66" s="147">
        <v>0</v>
      </c>
      <c r="H66" s="147">
        <v>0</v>
      </c>
      <c r="I66" s="147">
        <v>0</v>
      </c>
      <c r="J66" s="147">
        <v>0</v>
      </c>
    </row>
    <row r="67" spans="1:10" ht="63.75" hidden="1" x14ac:dyDescent="0.25">
      <c r="A67" s="240" t="s">
        <v>257</v>
      </c>
      <c r="B67" s="229" t="str">
        <f>'таблица (всего)'!C97</f>
        <v>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</v>
      </c>
      <c r="C67" s="226" t="s">
        <v>180</v>
      </c>
      <c r="D67" s="147">
        <f>D68</f>
        <v>948700</v>
      </c>
      <c r="E67" s="147">
        <f t="shared" ref="E67:J68" si="26">E68</f>
        <v>0</v>
      </c>
      <c r="F67" s="147">
        <f t="shared" si="26"/>
        <v>1030245.5</v>
      </c>
      <c r="G67" s="147">
        <f t="shared" si="26"/>
        <v>1030245.5</v>
      </c>
      <c r="H67" s="147">
        <f t="shared" si="26"/>
        <v>1030245.5</v>
      </c>
      <c r="I67" s="147">
        <f t="shared" si="26"/>
        <v>1030245.5</v>
      </c>
      <c r="J67" s="147">
        <f t="shared" si="26"/>
        <v>1030245.5</v>
      </c>
    </row>
    <row r="68" spans="1:10" hidden="1" x14ac:dyDescent="0.25">
      <c r="A68" s="226"/>
      <c r="B68" s="226" t="s">
        <v>225</v>
      </c>
      <c r="C68" s="1092"/>
      <c r="D68" s="147">
        <f>D69</f>
        <v>948700</v>
      </c>
      <c r="E68" s="147">
        <f t="shared" si="26"/>
        <v>0</v>
      </c>
      <c r="F68" s="147">
        <f t="shared" si="26"/>
        <v>1030245.5</v>
      </c>
      <c r="G68" s="147">
        <f t="shared" si="26"/>
        <v>1030245.5</v>
      </c>
      <c r="H68" s="147">
        <f t="shared" si="26"/>
        <v>1030245.5</v>
      </c>
      <c r="I68" s="147">
        <f t="shared" si="26"/>
        <v>1030245.5</v>
      </c>
      <c r="J68" s="147">
        <f t="shared" si="26"/>
        <v>1030245.5</v>
      </c>
    </row>
    <row r="69" spans="1:10" hidden="1" x14ac:dyDescent="0.25">
      <c r="A69" s="226"/>
      <c r="B69" s="226" t="s">
        <v>177</v>
      </c>
      <c r="C69" s="1093"/>
      <c r="D69" s="147">
        <f>'таблица (всего)'!D97</f>
        <v>948700</v>
      </c>
      <c r="E69" s="147">
        <f>'таблица (всего)'!E97</f>
        <v>0</v>
      </c>
      <c r="F69" s="147">
        <f>'таблица (всего)'!F97</f>
        <v>1030245.5</v>
      </c>
      <c r="G69" s="147">
        <f>'таблица (всего)'!G97</f>
        <v>1030245.5</v>
      </c>
      <c r="H69" s="147">
        <f>'таблица (всего)'!H97</f>
        <v>1030245.5</v>
      </c>
      <c r="I69" s="147">
        <f>'таблица (всего)'!I97</f>
        <v>1030245.5</v>
      </c>
      <c r="J69" s="147">
        <f>'таблица (всего)'!J97</f>
        <v>1030245.5</v>
      </c>
    </row>
    <row r="70" spans="1:10" hidden="1" x14ac:dyDescent="0.25">
      <c r="A70" s="226"/>
      <c r="B70" s="226" t="s">
        <v>178</v>
      </c>
      <c r="C70" s="1093"/>
      <c r="D70" s="239" t="s">
        <v>227</v>
      </c>
      <c r="E70" s="239" t="s">
        <v>227</v>
      </c>
      <c r="F70" s="147" t="s">
        <v>227</v>
      </c>
      <c r="G70" s="147" t="s">
        <v>227</v>
      </c>
      <c r="H70" s="147" t="s">
        <v>227</v>
      </c>
      <c r="I70" s="147" t="s">
        <v>227</v>
      </c>
      <c r="J70" s="147" t="s">
        <v>227</v>
      </c>
    </row>
    <row r="71" spans="1:10" ht="51" x14ac:dyDescent="0.25">
      <c r="A71" s="240" t="s">
        <v>258</v>
      </c>
      <c r="B71" s="229" t="str">
        <f>'таблица (всего)'!C98</f>
        <v>Проведение судебно-медицинской экспертизы</v>
      </c>
      <c r="C71" s="226" t="s">
        <v>180</v>
      </c>
      <c r="D71" s="147">
        <f>D72</f>
        <v>36749200</v>
      </c>
      <c r="E71" s="147">
        <f t="shared" ref="E71:J72" si="27">E72</f>
        <v>38820600</v>
      </c>
      <c r="F71" s="147">
        <f t="shared" si="27"/>
        <v>37353921.579999998</v>
      </c>
      <c r="G71" s="147">
        <f t="shared" si="27"/>
        <v>35565859</v>
      </c>
      <c r="H71" s="147">
        <f t="shared" si="27"/>
        <v>35565859</v>
      </c>
      <c r="I71" s="147">
        <f t="shared" si="27"/>
        <v>35565859</v>
      </c>
      <c r="J71" s="147">
        <f t="shared" si="27"/>
        <v>35565859</v>
      </c>
    </row>
    <row r="72" spans="1:10" x14ac:dyDescent="0.25">
      <c r="A72" s="226"/>
      <c r="B72" s="226" t="s">
        <v>225</v>
      </c>
      <c r="C72" s="1092"/>
      <c r="D72" s="147">
        <f>D73</f>
        <v>36749200</v>
      </c>
      <c r="E72" s="147">
        <f t="shared" si="27"/>
        <v>38820600</v>
      </c>
      <c r="F72" s="147">
        <f t="shared" si="27"/>
        <v>37353921.579999998</v>
      </c>
      <c r="G72" s="147">
        <f t="shared" si="27"/>
        <v>35565859</v>
      </c>
      <c r="H72" s="147">
        <f t="shared" si="27"/>
        <v>35565859</v>
      </c>
      <c r="I72" s="147">
        <f t="shared" si="27"/>
        <v>35565859</v>
      </c>
      <c r="J72" s="147">
        <f t="shared" si="27"/>
        <v>35565859</v>
      </c>
    </row>
    <row r="73" spans="1:10" x14ac:dyDescent="0.25">
      <c r="A73" s="226"/>
      <c r="B73" s="226" t="s">
        <v>177</v>
      </c>
      <c r="C73" s="1093"/>
      <c r="D73" s="147">
        <f>'таблица (всего)'!D98</f>
        <v>36749200</v>
      </c>
      <c r="E73" s="147">
        <f>'таблица (всего)'!E98</f>
        <v>38820600</v>
      </c>
      <c r="F73" s="147">
        <f>'таблица (всего)'!F98</f>
        <v>37353921.579999998</v>
      </c>
      <c r="G73" s="147">
        <f>'таблица (всего)'!G98</f>
        <v>35565859</v>
      </c>
      <c r="H73" s="147">
        <f>'таблица (всего)'!H98</f>
        <v>35565859</v>
      </c>
      <c r="I73" s="147">
        <f>'таблица (всего)'!I98</f>
        <v>35565859</v>
      </c>
      <c r="J73" s="147">
        <f>'таблица (всего)'!J98</f>
        <v>35565859</v>
      </c>
    </row>
    <row r="74" spans="1:10" x14ac:dyDescent="0.25">
      <c r="A74" s="226"/>
      <c r="B74" s="226" t="s">
        <v>178</v>
      </c>
      <c r="C74" s="1094"/>
      <c r="D74" s="239" t="s">
        <v>227</v>
      </c>
      <c r="E74" s="239" t="s">
        <v>227</v>
      </c>
      <c r="F74" s="147">
        <v>0</v>
      </c>
      <c r="G74" s="147">
        <v>0</v>
      </c>
      <c r="H74" s="147">
        <v>0</v>
      </c>
      <c r="I74" s="147">
        <v>0</v>
      </c>
      <c r="J74" s="147">
        <v>0</v>
      </c>
    </row>
  </sheetData>
  <mergeCells count="19">
    <mergeCell ref="C60:C62"/>
    <mergeCell ref="C64:C66"/>
    <mergeCell ref="C68:C70"/>
    <mergeCell ref="C72:C74"/>
    <mergeCell ref="C28:C30"/>
    <mergeCell ref="C32:C34"/>
    <mergeCell ref="C23:C26"/>
    <mergeCell ref="C14:C17"/>
    <mergeCell ref="C56:C58"/>
    <mergeCell ref="C48:C50"/>
    <mergeCell ref="C52:C54"/>
    <mergeCell ref="C44:C46"/>
    <mergeCell ref="C36:C38"/>
    <mergeCell ref="C40:C42"/>
    <mergeCell ref="I1:J1"/>
    <mergeCell ref="A2:J2"/>
    <mergeCell ref="A3:J3"/>
    <mergeCell ref="C7:C12"/>
    <mergeCell ref="C19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</vt:i4>
      </vt:variant>
    </vt:vector>
  </HeadingPairs>
  <TitlesOfParts>
    <vt:vector size="24" baseType="lpstr">
      <vt:lpstr>для Киселевой Е.С.</vt:lpstr>
      <vt:lpstr>таблица (всего)</vt:lpstr>
      <vt:lpstr>ТПГГ (областной бюджет)</vt:lpstr>
      <vt:lpstr>Модернизация</vt:lpstr>
      <vt:lpstr>Первичная</vt:lpstr>
      <vt:lpstr>Специализированная</vt:lpstr>
      <vt:lpstr>Паллиативная</vt:lpstr>
      <vt:lpstr>Заготовка крови</vt:lpstr>
      <vt:lpstr>Другие вопросы</vt:lpstr>
      <vt:lpstr>Меры соц. поддержки</vt:lpstr>
      <vt:lpstr>Организация ОМС</vt:lpstr>
      <vt:lpstr>Лицензирование</vt:lpstr>
      <vt:lpstr>Охрана здоровья МиР</vt:lpstr>
      <vt:lpstr>Кадровое обеспечение</vt:lpstr>
      <vt:lpstr>ТФОМС</vt:lpstr>
      <vt:lpstr>Образование</vt:lpstr>
      <vt:lpstr>Управление</vt:lpstr>
      <vt:lpstr>Соц.поддержка</vt:lpstr>
      <vt:lpstr>Обеспечение безопасности</vt:lpstr>
      <vt:lpstr>ежеквартальный отчет</vt:lpstr>
      <vt:lpstr>Первичная!OLE_LINK1</vt:lpstr>
      <vt:lpstr>'ежеквартальный отчет'!Заголовки_для_печати</vt:lpstr>
      <vt:lpstr>'ежеквартальный отчет'!Область_печати</vt:lpstr>
      <vt:lpstr>'таблица (всего)'!Область_печати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Polubutkina</dc:creator>
  <cp:lastModifiedBy>Моржова Светлана</cp:lastModifiedBy>
  <cp:lastPrinted>2019-11-12T13:05:55Z</cp:lastPrinted>
  <dcterms:created xsi:type="dcterms:W3CDTF">2012-08-17T11:34:40Z</dcterms:created>
  <dcterms:modified xsi:type="dcterms:W3CDTF">2019-11-13T12:10:05Z</dcterms:modified>
</cp:coreProperties>
</file>