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оржова Светлана\Desktop\государственная программа\отчетность по госпрограмме\отчет 2018\1 полугодие  2018 г\здравоохранение\"/>
    </mc:Choice>
  </mc:AlternateContent>
  <bookViews>
    <workbookView xWindow="360" yWindow="360" windowWidth="19320" windowHeight="12180" firstSheet="19" activeTab="19"/>
  </bookViews>
  <sheets>
    <sheet name="для Киселевой Е.С." sheetId="70" state="hidden" r:id="rId1"/>
    <sheet name="таблица (всего)" sheetId="44" state="hidden" r:id="rId2"/>
    <sheet name="ТПГГ (областной бюджет)" sheetId="72" state="hidden" r:id="rId3"/>
    <sheet name="Модернизация" sheetId="50" state="hidden" r:id="rId4"/>
    <sheet name="Первичная" sheetId="51" state="hidden" r:id="rId5"/>
    <sheet name="Специализированная" sheetId="52" state="hidden" r:id="rId6"/>
    <sheet name="Паллиативная" sheetId="53" state="hidden" r:id="rId7"/>
    <sheet name="Заготовка крови" sheetId="54" state="hidden" r:id="rId8"/>
    <sheet name="Другие вопросы" sheetId="58" state="hidden" r:id="rId9"/>
    <sheet name="Меры соц. поддержки" sheetId="59" state="hidden" r:id="rId10"/>
    <sheet name="Организация ОМС" sheetId="60" state="hidden" r:id="rId11"/>
    <sheet name="Лицензирование" sheetId="61" state="hidden" r:id="rId12"/>
    <sheet name="Охрана здоровья МиР" sheetId="62" state="hidden" r:id="rId13"/>
    <sheet name="Кадровое обеспечение" sheetId="63" state="hidden" r:id="rId14"/>
    <sheet name="ТФОМС" sheetId="64" state="hidden" r:id="rId15"/>
    <sheet name="Образование" sheetId="69" state="hidden" r:id="rId16"/>
    <sheet name="Управление" sheetId="65" state="hidden" r:id="rId17"/>
    <sheet name="Соц.поддержка" sheetId="66" state="hidden" r:id="rId18"/>
    <sheet name="Обеспечение безопасности" sheetId="67" state="hidden" r:id="rId19"/>
    <sheet name="ежеквартальный отчет" sheetId="71" r:id="rId20"/>
  </sheets>
  <definedNames>
    <definedName name="OLE_LINK1" localSheetId="4">Первичная!$A$5</definedName>
    <definedName name="_xlnm.Print_Titles" localSheetId="19">'ежеквартальный отчет'!$A:$L,'ежеквартальный отчет'!$6:$7</definedName>
    <definedName name="_xlnm.Print_Area" localSheetId="19">'ежеквартальный отчет'!$A$1:$L$411</definedName>
    <definedName name="_xlnm.Print_Area" localSheetId="1">'таблица (всего)'!$A$1:$K$185</definedName>
  </definedNames>
  <calcPr calcId="152511"/>
</workbook>
</file>

<file path=xl/calcChain.xml><?xml version="1.0" encoding="utf-8"?>
<calcChain xmlns="http://schemas.openxmlformats.org/spreadsheetml/2006/main">
  <c r="K458" i="71" l="1"/>
  <c r="F592" i="71"/>
  <c r="F591" i="71" s="1"/>
  <c r="F593" i="71"/>
  <c r="E593" i="71"/>
  <c r="E592" i="71"/>
  <c r="F594" i="71"/>
  <c r="F597" i="71"/>
  <c r="E597" i="71"/>
  <c r="E594" i="71"/>
  <c r="L593" i="71"/>
  <c r="L596" i="71"/>
  <c r="L595" i="71"/>
  <c r="L592" i="71" s="1"/>
  <c r="L591" i="71" s="1"/>
  <c r="L597" i="71"/>
  <c r="L557" i="71"/>
  <c r="L554" i="71" s="1"/>
  <c r="L556" i="71"/>
  <c r="L553" i="71" s="1"/>
  <c r="L21" i="71"/>
  <c r="E591" i="71" l="1"/>
  <c r="L594" i="71"/>
  <c r="L555" i="71"/>
  <c r="L552" i="71" s="1"/>
  <c r="L240" i="71"/>
  <c r="L239" i="71"/>
  <c r="L244" i="71"/>
  <c r="F239" i="71"/>
  <c r="F240" i="71"/>
  <c r="F244" i="71"/>
  <c r="E244" i="71"/>
  <c r="L430" i="71" l="1"/>
  <c r="L429" i="71"/>
  <c r="F429" i="71"/>
  <c r="F430" i="71"/>
  <c r="L443" i="71"/>
  <c r="E445" i="71"/>
  <c r="F443" i="71"/>
  <c r="E443" i="71"/>
  <c r="L558" i="71"/>
  <c r="F558" i="71"/>
  <c r="F556" i="71"/>
  <c r="F557" i="71"/>
  <c r="F553" i="71"/>
  <c r="F554" i="71"/>
  <c r="E558" i="71"/>
  <c r="E557" i="71"/>
  <c r="E554" i="71" s="1"/>
  <c r="E556" i="71"/>
  <c r="E553" i="71" s="1"/>
  <c r="E552" i="71" l="1"/>
  <c r="E555" i="71"/>
  <c r="F555" i="71"/>
  <c r="F552" i="71"/>
  <c r="F602" i="71"/>
  <c r="F343" i="71"/>
  <c r="F340" i="71"/>
  <c r="K202" i="71"/>
  <c r="F128" i="71" l="1"/>
  <c r="E128" i="71"/>
  <c r="K85" i="71"/>
  <c r="F21" i="71"/>
  <c r="E21" i="71"/>
  <c r="E35" i="71"/>
  <c r="E20" i="71" s="1"/>
  <c r="F35" i="71"/>
  <c r="F26" i="71"/>
  <c r="F20" i="71" s="1"/>
  <c r="F23" i="71"/>
  <c r="L23" i="71"/>
  <c r="L20" i="71" s="1"/>
  <c r="L32" i="71"/>
  <c r="F32" i="71"/>
  <c r="L46" i="71" l="1"/>
  <c r="F46" i="71"/>
  <c r="E46" i="71"/>
  <c r="L43" i="71"/>
  <c r="F43" i="71"/>
  <c r="E43" i="71"/>
  <c r="L40" i="71"/>
  <c r="F40" i="71"/>
  <c r="E40" i="71"/>
  <c r="L37" i="71"/>
  <c r="F37" i="71"/>
  <c r="E37" i="71"/>
  <c r="L34" i="71"/>
  <c r="F34" i="71"/>
  <c r="E34" i="71"/>
  <c r="L31" i="71"/>
  <c r="F31" i="71"/>
  <c r="E31" i="71"/>
  <c r="F224" i="71" l="1"/>
  <c r="F225" i="71"/>
  <c r="F209" i="71"/>
  <c r="F210" i="71"/>
  <c r="F182" i="71"/>
  <c r="F183" i="71"/>
  <c r="F125" i="71"/>
  <c r="F113" i="71"/>
  <c r="F114" i="71"/>
  <c r="F107" i="71"/>
  <c r="F108" i="71"/>
  <c r="F53" i="71"/>
  <c r="F54" i="71"/>
  <c r="F51" i="71" s="1"/>
  <c r="F18" i="71"/>
  <c r="F237" i="71"/>
  <c r="F106" i="71" l="1"/>
  <c r="F112" i="71"/>
  <c r="F181" i="71"/>
  <c r="F223" i="71"/>
  <c r="F208" i="71"/>
  <c r="F122" i="71"/>
  <c r="F50" i="71"/>
  <c r="F49" i="71" s="1"/>
  <c r="F52" i="71"/>
  <c r="E590" i="71" l="1"/>
  <c r="E587" i="71" s="1"/>
  <c r="E584" i="71" s="1"/>
  <c r="E580" i="71" s="1"/>
  <c r="L588" i="71"/>
  <c r="F588" i="71"/>
  <c r="L587" i="71"/>
  <c r="F587" i="71"/>
  <c r="F584" i="71" s="1"/>
  <c r="F580" i="71" s="1"/>
  <c r="L586" i="71"/>
  <c r="L585" i="71" s="1"/>
  <c r="F586" i="71"/>
  <c r="E586" i="71"/>
  <c r="E585" i="71" s="1"/>
  <c r="F585" i="71"/>
  <c r="L584" i="71"/>
  <c r="L580" i="71" s="1"/>
  <c r="F583" i="71"/>
  <c r="F582" i="71" l="1"/>
  <c r="F579" i="71"/>
  <c r="E588" i="71"/>
  <c r="F578" i="71"/>
  <c r="E583" i="71"/>
  <c r="E579" i="71" s="1"/>
  <c r="L583" i="71"/>
  <c r="L579" i="71" s="1"/>
  <c r="F577" i="71" l="1"/>
  <c r="E582" i="71"/>
  <c r="E578" i="71"/>
  <c r="E577" i="71" s="1"/>
  <c r="L582" i="71"/>
  <c r="L578" i="71"/>
  <c r="L577" i="71" s="1"/>
  <c r="K174" i="71" l="1"/>
  <c r="J174" i="71"/>
  <c r="L343" i="71" l="1"/>
  <c r="E343" i="71"/>
  <c r="L340" i="71"/>
  <c r="E340" i="71"/>
  <c r="L602" i="71"/>
  <c r="E602" i="71"/>
  <c r="L14" i="71" l="1"/>
  <c r="L380" i="71"/>
  <c r="L377" i="71"/>
  <c r="L373" i="71"/>
  <c r="L376" i="71" l="1"/>
  <c r="F393" i="71"/>
  <c r="E329" i="71"/>
  <c r="E328" i="71"/>
  <c r="L408" i="71"/>
  <c r="L407" i="71"/>
  <c r="F407" i="71" l="1"/>
  <c r="F408" i="71"/>
  <c r="E408" i="71"/>
  <c r="E407" i="71"/>
  <c r="E397" i="71"/>
  <c r="L350" i="71"/>
  <c r="L349" i="71"/>
  <c r="F349" i="71"/>
  <c r="F350" i="71"/>
  <c r="E349" i="71"/>
  <c r="L329" i="71"/>
  <c r="L328" i="71"/>
  <c r="L327" i="71" s="1"/>
  <c r="L330" i="71"/>
  <c r="L293" i="71"/>
  <c r="L126" i="71"/>
  <c r="L125" i="71"/>
  <c r="L225" i="71"/>
  <c r="L224" i="71"/>
  <c r="L226" i="71"/>
  <c r="E224" i="71"/>
  <c r="E210" i="71"/>
  <c r="E209" i="71"/>
  <c r="E125" i="71"/>
  <c r="F380" i="71" l="1"/>
  <c r="E377" i="71"/>
  <c r="F377" i="71"/>
  <c r="E375" i="71"/>
  <c r="E374" i="71"/>
  <c r="F373" i="71"/>
  <c r="F376" i="71" l="1"/>
  <c r="F366" i="71" s="1"/>
  <c r="F14" i="71" s="1"/>
  <c r="F13" i="71" s="1"/>
  <c r="E373" i="71"/>
  <c r="E380" i="71"/>
  <c r="E376" i="71" s="1"/>
  <c r="E366" i="71" s="1"/>
  <c r="E14" i="71" s="1"/>
  <c r="F330" i="71"/>
  <c r="E330" i="71"/>
  <c r="F327" i="71"/>
  <c r="E327" i="71"/>
  <c r="E234" i="71" l="1"/>
  <c r="L232" i="71"/>
  <c r="F232" i="71"/>
  <c r="E231" i="71"/>
  <c r="L229" i="71"/>
  <c r="F229" i="71"/>
  <c r="L223" i="71"/>
  <c r="F226" i="71"/>
  <c r="E226" i="71"/>
  <c r="L171" i="71"/>
  <c r="F171" i="71"/>
  <c r="E171" i="71"/>
  <c r="L174" i="71"/>
  <c r="F174" i="71"/>
  <c r="E174" i="71"/>
  <c r="K165" i="71"/>
  <c r="J165" i="71"/>
  <c r="E225" i="71" l="1"/>
  <c r="E223" i="71" s="1"/>
  <c r="E229" i="71"/>
  <c r="E232" i="71"/>
  <c r="E569" i="71"/>
  <c r="E568" i="71"/>
  <c r="L567" i="71"/>
  <c r="F567" i="71"/>
  <c r="L566" i="71"/>
  <c r="L563" i="71" s="1"/>
  <c r="F566" i="71"/>
  <c r="F563" i="71" s="1"/>
  <c r="E566" i="71"/>
  <c r="E563" i="71" s="1"/>
  <c r="L565" i="71"/>
  <c r="L562" i="71" s="1"/>
  <c r="F565" i="71"/>
  <c r="F562" i="71" s="1"/>
  <c r="L564" i="71" l="1"/>
  <c r="L561" i="71"/>
  <c r="E567" i="71"/>
  <c r="F564" i="71"/>
  <c r="F561" i="71"/>
  <c r="E565" i="71"/>
  <c r="E564" i="71" l="1"/>
  <c r="E562" i="71"/>
  <c r="L399" i="71"/>
  <c r="F401" i="71"/>
  <c r="E561" i="71" l="1"/>
  <c r="L312" i="71"/>
  <c r="L311" i="71"/>
  <c r="F17" i="71"/>
  <c r="F236" i="71"/>
  <c r="F235" i="71" s="1"/>
  <c r="F252" i="71"/>
  <c r="F253" i="71"/>
  <c r="F250" i="71" s="1"/>
  <c r="F12" i="71" s="1"/>
  <c r="F293" i="71"/>
  <c r="F294" i="71"/>
  <c r="F299" i="71"/>
  <c r="F300" i="71"/>
  <c r="F305" i="71"/>
  <c r="F306" i="71"/>
  <c r="F311" i="71"/>
  <c r="F312" i="71"/>
  <c r="F338" i="71"/>
  <c r="F335" i="71" s="1"/>
  <c r="F368" i="71"/>
  <c r="F364" i="71" s="1"/>
  <c r="F363" i="71" s="1"/>
  <c r="F369" i="71"/>
  <c r="F365" i="71" s="1"/>
  <c r="F322" i="71"/>
  <c r="F323" i="71"/>
  <c r="F388" i="71"/>
  <c r="F385" i="71" s="1"/>
  <c r="F384" i="71" s="1"/>
  <c r="F389" i="71"/>
  <c r="F386" i="71" s="1"/>
  <c r="F426" i="71"/>
  <c r="F427" i="71"/>
  <c r="F447" i="71"/>
  <c r="F448" i="71"/>
  <c r="F456" i="71"/>
  <c r="F453" i="71" s="1"/>
  <c r="F457" i="71"/>
  <c r="F454" i="71" s="1"/>
  <c r="F466" i="71"/>
  <c r="F463" i="71" s="1"/>
  <c r="F422" i="71" s="1"/>
  <c r="F467" i="71"/>
  <c r="F464" i="71" s="1"/>
  <c r="F494" i="71"/>
  <c r="F491" i="71" s="1"/>
  <c r="F495" i="71"/>
  <c r="F492" i="71" s="1"/>
  <c r="F503" i="71"/>
  <c r="F500" i="71" s="1"/>
  <c r="F504" i="71"/>
  <c r="F501" i="71" s="1"/>
  <c r="F525" i="71"/>
  <c r="F522" i="71" s="1"/>
  <c r="F518" i="71" s="1"/>
  <c r="F526" i="71"/>
  <c r="F523" i="71" s="1"/>
  <c r="F519" i="71" s="1"/>
  <c r="F547" i="71"/>
  <c r="F548" i="71"/>
  <c r="F545" i="71" s="1"/>
  <c r="F541" i="71" s="1"/>
  <c r="F423" i="71" l="1"/>
  <c r="F249" i="71"/>
  <c r="F421" i="71"/>
  <c r="F420" i="71" s="1"/>
  <c r="F248" i="71"/>
  <c r="F247" i="71" s="1"/>
  <c r="F16" i="71"/>
  <c r="F310" i="71"/>
  <c r="F292" i="71"/>
  <c r="F488" i="71"/>
  <c r="F348" i="71"/>
  <c r="F517" i="71"/>
  <c r="F516" i="71" s="1"/>
  <c r="F446" i="71"/>
  <c r="F487" i="71"/>
  <c r="F546" i="71"/>
  <c r="F544" i="71"/>
  <c r="F540" i="71" s="1"/>
  <c r="F304" i="71"/>
  <c r="F298" i="71"/>
  <c r="F251" i="71"/>
  <c r="F19" i="71"/>
  <c r="F238" i="71"/>
  <c r="F367" i="71"/>
  <c r="F321" i="71"/>
  <c r="F387" i="71"/>
  <c r="F425" i="71"/>
  <c r="F428" i="71"/>
  <c r="F452" i="71"/>
  <c r="F455" i="71"/>
  <c r="F462" i="71"/>
  <c r="F465" i="71"/>
  <c r="F490" i="71"/>
  <c r="F493" i="71"/>
  <c r="F499" i="71"/>
  <c r="F502" i="71"/>
  <c r="F521" i="71"/>
  <c r="F524" i="71"/>
  <c r="F486" i="71" l="1"/>
  <c r="F485" i="71" s="1"/>
  <c r="F543" i="71"/>
  <c r="F539" i="71"/>
  <c r="F538" i="71" s="1"/>
  <c r="L457" i="71"/>
  <c r="L458" i="71"/>
  <c r="L183" i="71" l="1"/>
  <c r="L182" i="71"/>
  <c r="L220" i="71" l="1"/>
  <c r="L217" i="71"/>
  <c r="L214" i="71"/>
  <c r="L211" i="71"/>
  <c r="L209" i="71"/>
  <c r="L122" i="71" s="1"/>
  <c r="L210" i="71"/>
  <c r="L123" i="71" s="1"/>
  <c r="L114" i="71"/>
  <c r="L113" i="71"/>
  <c r="K96" i="71"/>
  <c r="K91" i="71"/>
  <c r="J96" i="71"/>
  <c r="J91" i="71"/>
  <c r="J85" i="71"/>
  <c r="J79" i="71"/>
  <c r="L18" i="71"/>
  <c r="L17" i="71"/>
  <c r="L28" i="71"/>
  <c r="L25" i="71"/>
  <c r="L22" i="71"/>
  <c r="E362" i="71"/>
  <c r="E360" i="71" s="1"/>
  <c r="L360" i="71"/>
  <c r="F360" i="71"/>
  <c r="E359" i="71"/>
  <c r="E357" i="71" s="1"/>
  <c r="L357" i="71"/>
  <c r="F357" i="71"/>
  <c r="E356" i="71"/>
  <c r="E354" i="71" s="1"/>
  <c r="L354" i="71"/>
  <c r="F354" i="71"/>
  <c r="E353" i="71"/>
  <c r="L351" i="71"/>
  <c r="F351" i="71"/>
  <c r="L313" i="71"/>
  <c r="L299" i="71"/>
  <c r="F220" i="71"/>
  <c r="E220" i="71"/>
  <c r="F217" i="71"/>
  <c r="E217" i="71"/>
  <c r="F214" i="71"/>
  <c r="E214" i="71"/>
  <c r="F211" i="71"/>
  <c r="E211" i="71"/>
  <c r="E351" i="71" l="1"/>
  <c r="E350" i="71"/>
  <c r="E208" i="71"/>
  <c r="L16" i="71"/>
  <c r="L208" i="71"/>
  <c r="F28" i="71"/>
  <c r="E28" i="71"/>
  <c r="E242" i="71"/>
  <c r="E239" i="71" s="1"/>
  <c r="E114" i="71"/>
  <c r="E182" i="71" l="1"/>
  <c r="E122" i="71" s="1"/>
  <c r="F337" i="71"/>
  <c r="F334" i="71" s="1"/>
  <c r="F333" i="71" l="1"/>
  <c r="F336" i="71"/>
  <c r="F40" i="70"/>
  <c r="G40" i="70"/>
  <c r="H40" i="70"/>
  <c r="E40" i="70"/>
  <c r="E503" i="71"/>
  <c r="E311" i="71"/>
  <c r="F313" i="71"/>
  <c r="E313" i="71"/>
  <c r="H106" i="44" l="1"/>
  <c r="I106" i="44"/>
  <c r="J106" i="44"/>
  <c r="G106" i="44"/>
  <c r="G51" i="44"/>
  <c r="J30" i="44"/>
  <c r="I30" i="44"/>
  <c r="H30" i="44"/>
  <c r="G30" i="44"/>
  <c r="G6" i="44" l="1"/>
  <c r="F6" i="44"/>
  <c r="G65" i="44"/>
  <c r="H65" i="44"/>
  <c r="I65" i="44"/>
  <c r="J65" i="44"/>
  <c r="F65" i="44"/>
  <c r="K67" i="44"/>
  <c r="J105" i="44" l="1"/>
  <c r="G119" i="44"/>
  <c r="H119" i="44"/>
  <c r="I119" i="44"/>
  <c r="J119" i="44"/>
  <c r="F119" i="44"/>
  <c r="K121" i="44"/>
  <c r="G71" i="44"/>
  <c r="F71" i="44"/>
  <c r="G73" i="44"/>
  <c r="H73" i="44"/>
  <c r="H71" i="44" s="1"/>
  <c r="I73" i="44"/>
  <c r="I71" i="44" s="1"/>
  <c r="J73" i="44"/>
  <c r="J71" i="44" s="1"/>
  <c r="I105" i="44"/>
  <c r="H105" i="44"/>
  <c r="G105" i="44"/>
  <c r="I62" i="44"/>
  <c r="H62" i="44"/>
  <c r="G62" i="44"/>
  <c r="K73" i="44" l="1"/>
  <c r="E94" i="72"/>
  <c r="F94" i="72"/>
  <c r="D94" i="72"/>
  <c r="A94" i="72"/>
  <c r="K65" i="44"/>
  <c r="K66" i="44"/>
  <c r="G45" i="44"/>
  <c r="H45" i="44"/>
  <c r="I45" i="44"/>
  <c r="J45" i="44"/>
  <c r="F45" i="44"/>
  <c r="K52" i="44"/>
  <c r="K53" i="44"/>
  <c r="K54" i="44"/>
  <c r="K55" i="44"/>
  <c r="K56" i="44"/>
  <c r="K58" i="44"/>
  <c r="K59" i="44"/>
  <c r="J29" i="44" l="1"/>
  <c r="J180" i="44"/>
  <c r="J48" i="44"/>
  <c r="J61" i="44"/>
  <c r="E20" i="72" l="1"/>
  <c r="F20" i="72"/>
  <c r="D20" i="72"/>
  <c r="D3" i="72"/>
  <c r="E3" i="72"/>
  <c r="F3" i="72"/>
  <c r="D4" i="72"/>
  <c r="E4" i="72"/>
  <c r="F4" i="72"/>
  <c r="D5" i="72"/>
  <c r="D63" i="72" s="1"/>
  <c r="E5" i="72"/>
  <c r="E63" i="72" s="1"/>
  <c r="F5" i="72"/>
  <c r="F63" i="72" s="1"/>
  <c r="D8" i="72"/>
  <c r="E8" i="72"/>
  <c r="F8" i="72"/>
  <c r="D9" i="72"/>
  <c r="E9" i="72"/>
  <c r="F9" i="72"/>
  <c r="D12" i="72"/>
  <c r="D10" i="72" s="1"/>
  <c r="D62" i="72" s="1"/>
  <c r="E12" i="72"/>
  <c r="E10" i="72" s="1"/>
  <c r="E62" i="72" s="1"/>
  <c r="F12" i="72"/>
  <c r="F10" i="72" s="1"/>
  <c r="F62" i="72" s="1"/>
  <c r="D13" i="72"/>
  <c r="D59" i="72" s="1"/>
  <c r="E13" i="72"/>
  <c r="E59" i="72" s="1"/>
  <c r="F13" i="72"/>
  <c r="F59" i="72" s="1"/>
  <c r="D17" i="72"/>
  <c r="E17" i="72"/>
  <c r="F17" i="72"/>
  <c r="D18" i="72"/>
  <c r="E18" i="72"/>
  <c r="F18" i="72"/>
  <c r="D19" i="72"/>
  <c r="E19" i="72"/>
  <c r="F19" i="72"/>
  <c r="D21" i="72"/>
  <c r="E21" i="72"/>
  <c r="F21" i="72"/>
  <c r="D22" i="72"/>
  <c r="E22" i="72"/>
  <c r="F22" i="72"/>
  <c r="D24" i="72"/>
  <c r="E24" i="72"/>
  <c r="F24" i="72"/>
  <c r="D25" i="72"/>
  <c r="E25" i="72"/>
  <c r="F25" i="72"/>
  <c r="D27" i="72"/>
  <c r="E27" i="72"/>
  <c r="F27" i="72"/>
  <c r="D28" i="72"/>
  <c r="E28" i="72"/>
  <c r="F28" i="72"/>
  <c r="D29" i="72"/>
  <c r="E29" i="72"/>
  <c r="F29" i="72"/>
  <c r="D30" i="72"/>
  <c r="E30" i="72"/>
  <c r="F30" i="72"/>
  <c r="D31" i="72"/>
  <c r="E31" i="72"/>
  <c r="F31" i="72"/>
  <c r="D34" i="72"/>
  <c r="E34" i="72"/>
  <c r="F34" i="72"/>
  <c r="D35" i="72"/>
  <c r="E35" i="72"/>
  <c r="F35" i="72"/>
  <c r="D36" i="72"/>
  <c r="E36" i="72"/>
  <c r="F36" i="72"/>
  <c r="D37" i="72"/>
  <c r="E37" i="72"/>
  <c r="F37" i="72"/>
  <c r="D38" i="72"/>
  <c r="E38" i="72"/>
  <c r="F38" i="72"/>
  <c r="D39" i="72"/>
  <c r="E39" i="72"/>
  <c r="F39" i="72"/>
  <c r="D40" i="72"/>
  <c r="E40" i="72"/>
  <c r="F40" i="72"/>
  <c r="D42" i="72"/>
  <c r="E42" i="72"/>
  <c r="F42" i="72"/>
  <c r="D50" i="72"/>
  <c r="E50" i="72"/>
  <c r="F50" i="72"/>
  <c r="D72" i="72"/>
  <c r="E72" i="72"/>
  <c r="F72" i="72"/>
  <c r="F113" i="72"/>
  <c r="F112" i="72"/>
  <c r="F111" i="72"/>
  <c r="F110" i="72"/>
  <c r="F109" i="72"/>
  <c r="F108" i="72"/>
  <c r="F107" i="72"/>
  <c r="F106" i="72"/>
  <c r="F105" i="72"/>
  <c r="F104" i="72"/>
  <c r="F103" i="72"/>
  <c r="F102" i="72"/>
  <c r="F99" i="72"/>
  <c r="F98" i="72"/>
  <c r="F97" i="72"/>
  <c r="F96" i="72"/>
  <c r="F95" i="72"/>
  <c r="F93" i="72"/>
  <c r="F91" i="72"/>
  <c r="F90" i="72"/>
  <c r="F89" i="72"/>
  <c r="F88" i="72"/>
  <c r="F87" i="72"/>
  <c r="F86" i="72"/>
  <c r="F85" i="72"/>
  <c r="F84" i="72"/>
  <c r="F83" i="72"/>
  <c r="F82" i="72"/>
  <c r="E113" i="72"/>
  <c r="D113" i="72"/>
  <c r="E112" i="72"/>
  <c r="D112" i="72"/>
  <c r="E111" i="72"/>
  <c r="D111" i="72"/>
  <c r="E110" i="72"/>
  <c r="D110" i="72"/>
  <c r="E109" i="72"/>
  <c r="D109" i="72"/>
  <c r="E108" i="72"/>
  <c r="D108" i="72"/>
  <c r="E107" i="72"/>
  <c r="D107" i="72"/>
  <c r="E106" i="72"/>
  <c r="D106" i="72"/>
  <c r="E105" i="72"/>
  <c r="D105" i="72"/>
  <c r="E104" i="72"/>
  <c r="D104" i="72"/>
  <c r="E103" i="72"/>
  <c r="D103" i="72"/>
  <c r="E102" i="72"/>
  <c r="D102" i="72"/>
  <c r="E99" i="72"/>
  <c r="D99" i="72"/>
  <c r="E98" i="72"/>
  <c r="D98" i="72"/>
  <c r="E97" i="72"/>
  <c r="E78" i="72" s="1"/>
  <c r="D97" i="72"/>
  <c r="D78" i="72" s="1"/>
  <c r="E96" i="72"/>
  <c r="D96" i="72"/>
  <c r="E95" i="72"/>
  <c r="D95" i="72"/>
  <c r="E93" i="72"/>
  <c r="D93" i="72"/>
  <c r="E91" i="72"/>
  <c r="D91" i="72"/>
  <c r="E90" i="72"/>
  <c r="D90" i="72"/>
  <c r="E89" i="72"/>
  <c r="D89" i="72"/>
  <c r="E88" i="72"/>
  <c r="D88" i="72"/>
  <c r="E87" i="72"/>
  <c r="D87" i="72"/>
  <c r="E86" i="72"/>
  <c r="D86" i="72"/>
  <c r="E85" i="72"/>
  <c r="D85" i="72"/>
  <c r="E84" i="72"/>
  <c r="D84" i="72"/>
  <c r="E83" i="72"/>
  <c r="D83" i="72"/>
  <c r="E82" i="72"/>
  <c r="D82" i="72"/>
  <c r="F2" i="72" l="1"/>
  <c r="D2" i="72"/>
  <c r="F78" i="72"/>
  <c r="D77" i="72"/>
  <c r="E41" i="72"/>
  <c r="E65" i="72" s="1"/>
  <c r="F41" i="72"/>
  <c r="F65" i="72" s="1"/>
  <c r="D41" i="72"/>
  <c r="D65" i="72" s="1"/>
  <c r="E23" i="72"/>
  <c r="F23" i="72"/>
  <c r="D23" i="72"/>
  <c r="F16" i="72"/>
  <c r="D16" i="72"/>
  <c r="E16" i="72"/>
  <c r="F77" i="72"/>
  <c r="E33" i="72"/>
  <c r="F33" i="72"/>
  <c r="D33" i="72"/>
  <c r="F26" i="72"/>
  <c r="D26" i="72"/>
  <c r="E26" i="72"/>
  <c r="E7" i="72"/>
  <c r="E61" i="72" s="1"/>
  <c r="F7" i="72"/>
  <c r="F61" i="72" s="1"/>
  <c r="D7" i="72"/>
  <c r="D61" i="72" s="1"/>
  <c r="E2" i="72"/>
  <c r="E60" i="72" s="1"/>
  <c r="F60" i="72"/>
  <c r="D60" i="72"/>
  <c r="E77" i="72"/>
  <c r="J179" i="44" l="1"/>
  <c r="J178" i="44" s="1"/>
  <c r="J177" i="44" s="1"/>
  <c r="I180" i="44"/>
  <c r="H180" i="44"/>
  <c r="G180" i="44"/>
  <c r="H115" i="44"/>
  <c r="I115" i="44"/>
  <c r="G115" i="44"/>
  <c r="H48" i="44"/>
  <c r="I48" i="44"/>
  <c r="G48" i="44"/>
  <c r="G29" i="44"/>
  <c r="H29" i="44"/>
  <c r="I29" i="44"/>
  <c r="H61" i="44"/>
  <c r="I61" i="44"/>
  <c r="G61" i="44"/>
  <c r="J114" i="44"/>
  <c r="J184" i="44"/>
  <c r="J183" i="44" s="1"/>
  <c r="J182" i="44" s="1"/>
  <c r="J175" i="44"/>
  <c r="J174" i="44" s="1"/>
  <c r="J173" i="44" s="1"/>
  <c r="J170" i="44"/>
  <c r="J169" i="44" s="1"/>
  <c r="J167" i="44"/>
  <c r="J166" i="44" s="1"/>
  <c r="J161" i="44"/>
  <c r="J160" i="44" s="1"/>
  <c r="J158" i="44"/>
  <c r="J157" i="44" s="1"/>
  <c r="J155" i="44"/>
  <c r="J150" i="44"/>
  <c r="J145" i="44"/>
  <c r="J144" i="44" s="1"/>
  <c r="J140" i="44"/>
  <c r="J138" i="44"/>
  <c r="J137" i="44"/>
  <c r="J125" i="44"/>
  <c r="J123" i="44"/>
  <c r="J122" i="44"/>
  <c r="J124" i="44" s="1"/>
  <c r="J117" i="44"/>
  <c r="J116" i="44"/>
  <c r="J118" i="44" s="1"/>
  <c r="J109" i="44"/>
  <c r="J102" i="44"/>
  <c r="J100" i="44"/>
  <c r="J96" i="44"/>
  <c r="J94" i="44"/>
  <c r="J92" i="44"/>
  <c r="J90" i="44"/>
  <c r="J87" i="44"/>
  <c r="J84" i="44"/>
  <c r="J82" i="44"/>
  <c r="J77" i="44"/>
  <c r="J74" i="44" s="1"/>
  <c r="J76" i="44" s="1"/>
  <c r="J75" i="44"/>
  <c r="J68" i="44"/>
  <c r="J70" i="44" s="1"/>
  <c r="J60" i="44"/>
  <c r="J57" i="44"/>
  <c r="J47" i="44"/>
  <c r="J44" i="44" s="1"/>
  <c r="J42" i="44"/>
  <c r="J39" i="44"/>
  <c r="J34" i="44"/>
  <c r="J32" i="44"/>
  <c r="J28" i="44"/>
  <c r="J26" i="44"/>
  <c r="J13" i="44"/>
  <c r="J11" i="44"/>
  <c r="J81" i="44" l="1"/>
  <c r="J83" i="44" s="1"/>
  <c r="J149" i="44"/>
  <c r="J148" i="44" s="1"/>
  <c r="J46" i="44"/>
  <c r="J139" i="44"/>
  <c r="J12" i="44"/>
  <c r="J165" i="44"/>
  <c r="J25" i="44"/>
  <c r="J99" i="44"/>
  <c r="J101" i="44" s="1"/>
  <c r="J27" i="44"/>
  <c r="J10" i="44"/>
  <c r="J161" i="71" l="1"/>
  <c r="K151" i="71"/>
  <c r="J151" i="71"/>
  <c r="G102" i="44" l="1"/>
  <c r="H102" i="44"/>
  <c r="I102" i="44"/>
  <c r="F102" i="44"/>
  <c r="F48" i="44" l="1"/>
  <c r="K105" i="44"/>
  <c r="F190" i="44"/>
  <c r="F191" i="44"/>
  <c r="F189" i="44"/>
  <c r="F156" i="44"/>
  <c r="F37" i="44" l="1"/>
  <c r="E25" i="71" l="1"/>
  <c r="E299" i="71"/>
  <c r="F62" i="44" l="1"/>
  <c r="G57" i="44"/>
  <c r="H57" i="44"/>
  <c r="I57" i="44"/>
  <c r="F57" i="44"/>
  <c r="F193" i="44" l="1"/>
  <c r="F110" i="44"/>
  <c r="F163" i="44"/>
  <c r="F162" i="44"/>
  <c r="F29" i="44"/>
  <c r="F113" i="44"/>
  <c r="F16" i="44"/>
  <c r="F152" i="44" l="1"/>
  <c r="F86" i="44" l="1"/>
  <c r="F98" i="44"/>
  <c r="F95" i="44"/>
  <c r="F93" i="44"/>
  <c r="F51" i="44"/>
  <c r="F49" i="44"/>
  <c r="F30" i="44"/>
  <c r="C92" i="72" l="1"/>
  <c r="C101" i="72"/>
  <c r="C42" i="72"/>
  <c r="C50" i="72"/>
  <c r="C41" i="72" l="1"/>
  <c r="C65" i="72" s="1"/>
  <c r="C72" i="72"/>
  <c r="C113" i="72"/>
  <c r="C112" i="72"/>
  <c r="A113" i="72"/>
  <c r="A112" i="72"/>
  <c r="C111" i="72"/>
  <c r="C110" i="72"/>
  <c r="C109" i="72"/>
  <c r="C108" i="72"/>
  <c r="C107" i="72"/>
  <c r="C106" i="72"/>
  <c r="C105" i="72"/>
  <c r="C104" i="72"/>
  <c r="C103" i="72"/>
  <c r="C102" i="72"/>
  <c r="C99" i="72"/>
  <c r="C98" i="72"/>
  <c r="C97" i="72"/>
  <c r="C96" i="72"/>
  <c r="C95" i="72"/>
  <c r="C93" i="72"/>
  <c r="C91" i="72"/>
  <c r="C90" i="72"/>
  <c r="C89" i="72"/>
  <c r="C88" i="72"/>
  <c r="C87" i="72"/>
  <c r="C86" i="72"/>
  <c r="C85" i="72"/>
  <c r="C84" i="72"/>
  <c r="C83" i="72"/>
  <c r="C82" i="72"/>
  <c r="C13" i="72"/>
  <c r="C59" i="72" s="1"/>
  <c r="C5" i="72"/>
  <c r="C63" i="72" s="1"/>
  <c r="C77" i="72" l="1"/>
  <c r="C78" i="72"/>
  <c r="C9" i="72" l="1"/>
  <c r="C8" i="72"/>
  <c r="A9" i="72"/>
  <c r="A8" i="72"/>
  <c r="C7" i="72" l="1"/>
  <c r="C61" i="72" s="1"/>
  <c r="C39" i="72"/>
  <c r="C38" i="72"/>
  <c r="C37" i="72"/>
  <c r="C36" i="72"/>
  <c r="C35" i="72"/>
  <c r="C40" i="72"/>
  <c r="C34" i="72"/>
  <c r="C31" i="72"/>
  <c r="C30" i="72"/>
  <c r="C29" i="72"/>
  <c r="C28" i="72"/>
  <c r="C27" i="72"/>
  <c r="C25" i="72"/>
  <c r="C24" i="72"/>
  <c r="C22" i="72"/>
  <c r="C21" i="72"/>
  <c r="C20" i="72"/>
  <c r="C19" i="72"/>
  <c r="C18" i="72"/>
  <c r="C17" i="72"/>
  <c r="C12" i="72"/>
  <c r="C10" i="72" s="1"/>
  <c r="C62" i="72" s="1"/>
  <c r="C4" i="72"/>
  <c r="C3" i="72"/>
  <c r="A111" i="72"/>
  <c r="A110" i="72"/>
  <c r="A109" i="72"/>
  <c r="A108" i="72"/>
  <c r="A107" i="72"/>
  <c r="A105" i="72"/>
  <c r="A104" i="72"/>
  <c r="A103" i="72"/>
  <c r="A102" i="72"/>
  <c r="A101" i="72"/>
  <c r="A100" i="72"/>
  <c r="A99" i="72"/>
  <c r="A98" i="72"/>
  <c r="A97" i="72"/>
  <c r="A96" i="72"/>
  <c r="A95" i="72"/>
  <c r="A93" i="72"/>
  <c r="A92" i="72"/>
  <c r="A91" i="72"/>
  <c r="A90" i="72"/>
  <c r="A89" i="72"/>
  <c r="A88" i="72"/>
  <c r="A87" i="72"/>
  <c r="A86" i="72"/>
  <c r="A85" i="72"/>
  <c r="A84" i="72"/>
  <c r="A82" i="72"/>
  <c r="A39" i="72"/>
  <c r="A38" i="72"/>
  <c r="A37" i="72"/>
  <c r="A36" i="72"/>
  <c r="A35" i="72"/>
  <c r="A40" i="72"/>
  <c r="A34" i="72"/>
  <c r="A32" i="72"/>
  <c r="A31" i="72"/>
  <c r="A30" i="72"/>
  <c r="A29" i="72"/>
  <c r="A28" i="72"/>
  <c r="A27" i="72"/>
  <c r="A26" i="72"/>
  <c r="A25" i="72"/>
  <c r="A24" i="72"/>
  <c r="A23" i="72"/>
  <c r="A22" i="72"/>
  <c r="A21" i="72"/>
  <c r="A20" i="72"/>
  <c r="A19" i="72"/>
  <c r="A18" i="72"/>
  <c r="A11" i="72"/>
  <c r="A12" i="72"/>
  <c r="A4" i="72"/>
  <c r="A3" i="72"/>
  <c r="C16" i="72" l="1"/>
  <c r="C33" i="72"/>
  <c r="C2" i="72"/>
  <c r="C23" i="72"/>
  <c r="C26" i="72"/>
  <c r="F106" i="44"/>
  <c r="C60" i="72" l="1"/>
  <c r="K161" i="71"/>
  <c r="K79" i="71"/>
  <c r="F118" i="71"/>
  <c r="F397" i="71"/>
  <c r="F10" i="71" s="1"/>
  <c r="F398" i="71"/>
  <c r="F79" i="44"/>
  <c r="F50" i="44"/>
  <c r="F180" i="44"/>
  <c r="F35" i="44"/>
  <c r="L434" i="71"/>
  <c r="L431" i="71"/>
  <c r="L398" i="71"/>
  <c r="L397" i="71"/>
  <c r="L409" i="71"/>
  <c r="L389" i="71"/>
  <c r="L386" i="71" s="1"/>
  <c r="L388" i="71"/>
  <c r="L393" i="71"/>
  <c r="L390" i="71"/>
  <c r="L323" i="71"/>
  <c r="L322" i="71"/>
  <c r="L324" i="71"/>
  <c r="L370" i="71"/>
  <c r="L338" i="71"/>
  <c r="L335" i="71" s="1"/>
  <c r="L337" i="71"/>
  <c r="L334" i="71" s="1"/>
  <c r="L345" i="71"/>
  <c r="L342" i="71"/>
  <c r="L339" i="71"/>
  <c r="L318" i="71"/>
  <c r="L305" i="71"/>
  <c r="L306" i="71"/>
  <c r="L307" i="71"/>
  <c r="L300" i="71"/>
  <c r="L301" i="71"/>
  <c r="L294" i="71"/>
  <c r="L295" i="71"/>
  <c r="L252" i="71"/>
  <c r="L253" i="71"/>
  <c r="L250" i="71" s="1"/>
  <c r="L12" i="71" s="1"/>
  <c r="L279" i="71"/>
  <c r="L254" i="71"/>
  <c r="L236" i="71"/>
  <c r="L237" i="71"/>
  <c r="L241" i="71"/>
  <c r="L202" i="71"/>
  <c r="L184" i="71"/>
  <c r="L161" i="71"/>
  <c r="L158" i="71"/>
  <c r="L151" i="71"/>
  <c r="L127" i="71"/>
  <c r="L118" i="71"/>
  <c r="L115" i="71"/>
  <c r="L107" i="71"/>
  <c r="L108" i="71"/>
  <c r="L109" i="71"/>
  <c r="L53" i="71"/>
  <c r="L54" i="71"/>
  <c r="L103" i="71"/>
  <c r="L79" i="71"/>
  <c r="L55" i="71"/>
  <c r="L447" i="71"/>
  <c r="L448" i="71"/>
  <c r="E442" i="71"/>
  <c r="E440" i="71" s="1"/>
  <c r="L369" i="71"/>
  <c r="L365" i="71" s="1"/>
  <c r="L368" i="71"/>
  <c r="L364" i="71" s="1"/>
  <c r="L437" i="71"/>
  <c r="L440" i="71"/>
  <c r="L449" i="71"/>
  <c r="L456" i="71"/>
  <c r="L453" i="71" s="1"/>
  <c r="L454" i="71"/>
  <c r="L466" i="71"/>
  <c r="L463" i="71" s="1"/>
  <c r="L467" i="71"/>
  <c r="L464" i="71" s="1"/>
  <c r="L468" i="71"/>
  <c r="L471" i="71"/>
  <c r="L474" i="71"/>
  <c r="L494" i="71"/>
  <c r="L491" i="71" s="1"/>
  <c r="L495" i="71"/>
  <c r="L492" i="71" s="1"/>
  <c r="L496" i="71"/>
  <c r="L503" i="71"/>
  <c r="L500" i="71" s="1"/>
  <c r="L504" i="71"/>
  <c r="L501" i="71" s="1"/>
  <c r="L505" i="71"/>
  <c r="L548" i="71"/>
  <c r="L545" i="71" s="1"/>
  <c r="L541" i="71" s="1"/>
  <c r="L547" i="71"/>
  <c r="L544" i="71" s="1"/>
  <c r="L549" i="71"/>
  <c r="E119" i="71"/>
  <c r="E118" i="71" s="1"/>
  <c r="F25" i="71"/>
  <c r="F129" i="71"/>
  <c r="F126" i="71" s="1"/>
  <c r="L525" i="71"/>
  <c r="L522" i="71" s="1"/>
  <c r="L518" i="71" s="1"/>
  <c r="L526" i="71"/>
  <c r="L523" i="71" s="1"/>
  <c r="L519" i="71" s="1"/>
  <c r="L527" i="71"/>
  <c r="F22" i="71"/>
  <c r="F55" i="71"/>
  <c r="F79" i="71"/>
  <c r="F103" i="71"/>
  <c r="F109" i="71"/>
  <c r="F115" i="71"/>
  <c r="F151" i="71"/>
  <c r="F158" i="71"/>
  <c r="F161" i="71"/>
  <c r="F184" i="71"/>
  <c r="F202" i="71"/>
  <c r="F254" i="71"/>
  <c r="F279" i="71"/>
  <c r="F295" i="71"/>
  <c r="F301" i="71"/>
  <c r="F307" i="71"/>
  <c r="F318" i="71"/>
  <c r="F342" i="71"/>
  <c r="F345" i="71"/>
  <c r="F370" i="71"/>
  <c r="F324" i="71"/>
  <c r="F390" i="71"/>
  <c r="F409" i="71"/>
  <c r="F400" i="71" s="1"/>
  <c r="F399" i="71" s="1"/>
  <c r="F431" i="71"/>
  <c r="F434" i="71"/>
  <c r="F437" i="71"/>
  <c r="F440" i="71"/>
  <c r="F449" i="71"/>
  <c r="F458" i="71"/>
  <c r="F468" i="71"/>
  <c r="F471" i="71"/>
  <c r="F474" i="71"/>
  <c r="F496" i="71"/>
  <c r="F505" i="71"/>
  <c r="F527" i="71"/>
  <c r="F549" i="71"/>
  <c r="E551" i="71"/>
  <c r="E548" i="71" s="1"/>
  <c r="E545" i="71" s="1"/>
  <c r="E541" i="71" s="1"/>
  <c r="E547" i="71"/>
  <c r="E544" i="71" s="1"/>
  <c r="E540" i="71" s="1"/>
  <c r="E529" i="71"/>
  <c r="E526" i="71" s="1"/>
  <c r="E523" i="71" s="1"/>
  <c r="E519" i="71" s="1"/>
  <c r="E507" i="71"/>
  <c r="E504" i="71" s="1"/>
  <c r="E501" i="71" s="1"/>
  <c r="E498" i="71"/>
  <c r="E495" i="71" s="1"/>
  <c r="E492" i="71" s="1"/>
  <c r="E476" i="71"/>
  <c r="E474" i="71" s="1"/>
  <c r="E473" i="71"/>
  <c r="E471" i="71" s="1"/>
  <c r="E470" i="71"/>
  <c r="E460" i="71"/>
  <c r="E457" i="71" s="1"/>
  <c r="E454" i="71" s="1"/>
  <c r="E450" i="71"/>
  <c r="E439" i="71"/>
  <c r="E436" i="71"/>
  <c r="E434" i="71" s="1"/>
  <c r="E433" i="71"/>
  <c r="F138" i="44"/>
  <c r="F139" i="44"/>
  <c r="E409" i="71"/>
  <c r="E399" i="71" s="1"/>
  <c r="E395" i="71"/>
  <c r="E393" i="71" s="1"/>
  <c r="E392" i="71"/>
  <c r="E388" i="71"/>
  <c r="E385" i="71" s="1"/>
  <c r="E325" i="71"/>
  <c r="E322" i="71" s="1"/>
  <c r="E372" i="71"/>
  <c r="E369" i="71" s="1"/>
  <c r="E365" i="71" s="1"/>
  <c r="E368" i="71"/>
  <c r="E347" i="71"/>
  <c r="E345" i="71" s="1"/>
  <c r="E344" i="71"/>
  <c r="E341" i="71"/>
  <c r="E339" i="71" s="1"/>
  <c r="E320" i="71"/>
  <c r="E312" i="71" s="1"/>
  <c r="E310" i="71" s="1"/>
  <c r="E309" i="71"/>
  <c r="E306" i="71" s="1"/>
  <c r="E303" i="71"/>
  <c r="E300" i="71" s="1"/>
  <c r="E297" i="71"/>
  <c r="E294" i="71" s="1"/>
  <c r="E293" i="71"/>
  <c r="E279" i="71"/>
  <c r="E256" i="71"/>
  <c r="E253" i="71" s="1"/>
  <c r="E250" i="71" s="1"/>
  <c r="E12" i="71" s="1"/>
  <c r="E243" i="71"/>
  <c r="E204" i="71"/>
  <c r="E202" i="71" s="1"/>
  <c r="E186" i="71"/>
  <c r="E163" i="71"/>
  <c r="E161" i="71" s="1"/>
  <c r="E160" i="71"/>
  <c r="E158" i="71" s="1"/>
  <c r="E153" i="71"/>
  <c r="E151" i="71" s="1"/>
  <c r="E129" i="71"/>
  <c r="E116" i="71"/>
  <c r="E111" i="71"/>
  <c r="E108" i="71" s="1"/>
  <c r="E103" i="71"/>
  <c r="E79" i="71"/>
  <c r="E57" i="71"/>
  <c r="E54" i="71" s="1"/>
  <c r="E53" i="71"/>
  <c r="E18" i="71"/>
  <c r="E22" i="71"/>
  <c r="F339" i="71"/>
  <c r="F241" i="71"/>
  <c r="K181" i="44"/>
  <c r="E37" i="44"/>
  <c r="E193" i="44"/>
  <c r="C33" i="70"/>
  <c r="D33" i="70"/>
  <c r="E33" i="70"/>
  <c r="F33" i="70"/>
  <c r="G33" i="70"/>
  <c r="H33" i="70"/>
  <c r="B33" i="70"/>
  <c r="C40" i="70"/>
  <c r="D40" i="70"/>
  <c r="B40" i="70"/>
  <c r="C28" i="70"/>
  <c r="D28" i="70"/>
  <c r="E28" i="70"/>
  <c r="F28" i="70"/>
  <c r="G28" i="70"/>
  <c r="H28" i="70"/>
  <c r="I28" i="70"/>
  <c r="B28" i="70"/>
  <c r="C16" i="70"/>
  <c r="D16" i="70"/>
  <c r="E16" i="70"/>
  <c r="F16" i="70"/>
  <c r="G16" i="70"/>
  <c r="H16" i="70"/>
  <c r="I16" i="70"/>
  <c r="B16" i="70"/>
  <c r="C20" i="70"/>
  <c r="D20" i="70"/>
  <c r="E20" i="70"/>
  <c r="F20" i="70"/>
  <c r="G20" i="70"/>
  <c r="H20" i="70"/>
  <c r="I20" i="70"/>
  <c r="B20" i="70"/>
  <c r="C24" i="70"/>
  <c r="D24" i="70"/>
  <c r="E24" i="70"/>
  <c r="F24" i="70"/>
  <c r="G24" i="70"/>
  <c r="H24" i="70"/>
  <c r="I24" i="70"/>
  <c r="B24" i="70"/>
  <c r="C12" i="70"/>
  <c r="D12" i="70"/>
  <c r="E12" i="70"/>
  <c r="F12" i="70"/>
  <c r="G12" i="70"/>
  <c r="H12" i="70"/>
  <c r="B12" i="70"/>
  <c r="C7" i="70"/>
  <c r="D7" i="70"/>
  <c r="E7" i="70"/>
  <c r="F7" i="70"/>
  <c r="G7" i="70"/>
  <c r="H7" i="70"/>
  <c r="B7" i="70"/>
  <c r="A26" i="70"/>
  <c r="A22" i="70"/>
  <c r="A18" i="70"/>
  <c r="A14" i="70"/>
  <c r="A10" i="70"/>
  <c r="A3" i="70"/>
  <c r="B13" i="58"/>
  <c r="F15" i="44"/>
  <c r="E32" i="44"/>
  <c r="F32" i="44"/>
  <c r="G32" i="44"/>
  <c r="H32" i="44"/>
  <c r="I32" i="44"/>
  <c r="D32" i="44"/>
  <c r="E28" i="44"/>
  <c r="F28" i="44"/>
  <c r="G28" i="44"/>
  <c r="H28" i="44"/>
  <c r="I28" i="44"/>
  <c r="D28" i="44"/>
  <c r="G206" i="44"/>
  <c r="H206" i="44"/>
  <c r="I206" i="44"/>
  <c r="J206" i="44"/>
  <c r="E29" i="69"/>
  <c r="F29" i="69"/>
  <c r="G29" i="69"/>
  <c r="H29" i="69"/>
  <c r="I29" i="69"/>
  <c r="J29" i="69"/>
  <c r="D29" i="69"/>
  <c r="E28" i="69"/>
  <c r="F28" i="69"/>
  <c r="G28" i="69"/>
  <c r="H28" i="69"/>
  <c r="I28" i="69"/>
  <c r="J28" i="69"/>
  <c r="D28" i="69"/>
  <c r="E27" i="69"/>
  <c r="F27" i="69"/>
  <c r="G27" i="69"/>
  <c r="H27" i="69"/>
  <c r="I27" i="69"/>
  <c r="J27" i="69"/>
  <c r="D27" i="69"/>
  <c r="B29" i="69"/>
  <c r="B28" i="69"/>
  <c r="B27" i="69"/>
  <c r="E19" i="69"/>
  <c r="F19" i="69"/>
  <c r="G19" i="69"/>
  <c r="H19" i="69"/>
  <c r="I19" i="69"/>
  <c r="J19" i="69"/>
  <c r="D19" i="69"/>
  <c r="B19" i="69"/>
  <c r="E11" i="69"/>
  <c r="L11" i="69" s="1"/>
  <c r="F11" i="69"/>
  <c r="M11" i="69" s="1"/>
  <c r="G11" i="69"/>
  <c r="N11" i="69" s="1"/>
  <c r="H11" i="69"/>
  <c r="O11" i="69" s="1"/>
  <c r="I11" i="69"/>
  <c r="P11" i="69" s="1"/>
  <c r="J11" i="69"/>
  <c r="Q11" i="69" s="1"/>
  <c r="D11" i="69"/>
  <c r="K11" i="69" s="1"/>
  <c r="B11" i="69"/>
  <c r="E10" i="69"/>
  <c r="L10" i="69" s="1"/>
  <c r="F10" i="69"/>
  <c r="M10" i="69" s="1"/>
  <c r="G10" i="69"/>
  <c r="N10" i="69" s="1"/>
  <c r="H10" i="69"/>
  <c r="O10" i="69" s="1"/>
  <c r="I10" i="69"/>
  <c r="P10" i="69" s="1"/>
  <c r="J10" i="69"/>
  <c r="Q10" i="69" s="1"/>
  <c r="D10" i="69"/>
  <c r="K10" i="69" s="1"/>
  <c r="B10" i="69"/>
  <c r="E7" i="69"/>
  <c r="L7" i="69" s="1"/>
  <c r="G7" i="69"/>
  <c r="N7" i="69" s="1"/>
  <c r="H7" i="69"/>
  <c r="O7" i="69" s="1"/>
  <c r="I7" i="69"/>
  <c r="P7" i="69" s="1"/>
  <c r="J7" i="69"/>
  <c r="Q7" i="69" s="1"/>
  <c r="D7" i="69"/>
  <c r="K7" i="69" s="1"/>
  <c r="B7" i="69"/>
  <c r="J9" i="69"/>
  <c r="Q9" i="69" s="1"/>
  <c r="I9" i="69"/>
  <c r="P9" i="69" s="1"/>
  <c r="H9" i="69"/>
  <c r="O9" i="69" s="1"/>
  <c r="G9" i="69"/>
  <c r="N9" i="69" s="1"/>
  <c r="F9" i="69"/>
  <c r="M9" i="69" s="1"/>
  <c r="E9" i="69"/>
  <c r="L9" i="69" s="1"/>
  <c r="D9" i="69"/>
  <c r="K9" i="69" s="1"/>
  <c r="B9" i="69"/>
  <c r="E8" i="69"/>
  <c r="L8" i="69" s="1"/>
  <c r="F8" i="69"/>
  <c r="M8" i="69" s="1"/>
  <c r="G8" i="69"/>
  <c r="N8" i="69" s="1"/>
  <c r="H8" i="69"/>
  <c r="O8" i="69" s="1"/>
  <c r="I8" i="69"/>
  <c r="P8" i="69" s="1"/>
  <c r="J8" i="69"/>
  <c r="Q8" i="69" s="1"/>
  <c r="D8" i="69"/>
  <c r="K8" i="69" s="1"/>
  <c r="B8" i="69"/>
  <c r="E7" i="67"/>
  <c r="L7" i="67" s="1"/>
  <c r="F7" i="67"/>
  <c r="M7" i="67" s="1"/>
  <c r="G7" i="67"/>
  <c r="N7" i="67" s="1"/>
  <c r="H7" i="67"/>
  <c r="O7" i="67" s="1"/>
  <c r="I7" i="67"/>
  <c r="P7" i="67" s="1"/>
  <c r="J7" i="67"/>
  <c r="Q7" i="67" s="1"/>
  <c r="D7" i="67"/>
  <c r="K7" i="67" s="1"/>
  <c r="B7" i="67"/>
  <c r="E19" i="66"/>
  <c r="E17" i="66" s="1"/>
  <c r="E16" i="66" s="1"/>
  <c r="L16" i="66" s="1"/>
  <c r="F19" i="66"/>
  <c r="G19" i="66"/>
  <c r="G17" i="66" s="1"/>
  <c r="G16" i="66" s="1"/>
  <c r="N16" i="66" s="1"/>
  <c r="H19" i="66"/>
  <c r="H17" i="66" s="1"/>
  <c r="H16" i="66" s="1"/>
  <c r="O16" i="66" s="1"/>
  <c r="I19" i="66"/>
  <c r="I17" i="66" s="1"/>
  <c r="I16" i="66" s="1"/>
  <c r="P16" i="66" s="1"/>
  <c r="J19" i="66"/>
  <c r="J17" i="66" s="1"/>
  <c r="J16" i="66" s="1"/>
  <c r="Q16" i="66" s="1"/>
  <c r="D19" i="66"/>
  <c r="D17" i="66" s="1"/>
  <c r="D16" i="66" s="1"/>
  <c r="K16" i="66" s="1"/>
  <c r="F17" i="66"/>
  <c r="F16" i="66" s="1"/>
  <c r="M16" i="66" s="1"/>
  <c r="E24" i="66"/>
  <c r="E22" i="66" s="1"/>
  <c r="E21" i="66" s="1"/>
  <c r="L21" i="66" s="1"/>
  <c r="F24" i="66"/>
  <c r="F22" i="66" s="1"/>
  <c r="F21" i="66" s="1"/>
  <c r="M21" i="66" s="1"/>
  <c r="G24" i="66"/>
  <c r="G22" i="66" s="1"/>
  <c r="G21" i="66" s="1"/>
  <c r="N21" i="66" s="1"/>
  <c r="H24" i="66"/>
  <c r="H22" i="66" s="1"/>
  <c r="H21" i="66" s="1"/>
  <c r="O21" i="66" s="1"/>
  <c r="I24" i="66"/>
  <c r="I22" i="66" s="1"/>
  <c r="I21" i="66" s="1"/>
  <c r="P21" i="66" s="1"/>
  <c r="J24" i="66"/>
  <c r="J22" i="66" s="1"/>
  <c r="J21" i="66" s="1"/>
  <c r="Q21" i="66" s="1"/>
  <c r="D24" i="66"/>
  <c r="D22" i="66" s="1"/>
  <c r="D21" i="66" s="1"/>
  <c r="K21" i="66" s="1"/>
  <c r="E9" i="66"/>
  <c r="E7" i="66" s="1"/>
  <c r="E6" i="66" s="1"/>
  <c r="L6" i="66" s="1"/>
  <c r="F9" i="66"/>
  <c r="F7" i="66" s="1"/>
  <c r="F6" i="66" s="1"/>
  <c r="M6" i="66" s="1"/>
  <c r="G9" i="66"/>
  <c r="G7" i="66" s="1"/>
  <c r="G6" i="66" s="1"/>
  <c r="N6" i="66" s="1"/>
  <c r="H9" i="66"/>
  <c r="H7" i="66" s="1"/>
  <c r="H6" i="66" s="1"/>
  <c r="O6" i="66" s="1"/>
  <c r="I9" i="66"/>
  <c r="I7" i="66" s="1"/>
  <c r="I6" i="66" s="1"/>
  <c r="P6" i="66" s="1"/>
  <c r="J9" i="66"/>
  <c r="J7" i="66" s="1"/>
  <c r="J6" i="66" s="1"/>
  <c r="Q6" i="66" s="1"/>
  <c r="D9" i="66"/>
  <c r="D7" i="66" s="1"/>
  <c r="D6" i="66" s="1"/>
  <c r="K6" i="66" s="1"/>
  <c r="K6" i="65"/>
  <c r="R6" i="65" s="1"/>
  <c r="J6" i="65"/>
  <c r="Q6" i="65" s="1"/>
  <c r="I6" i="65"/>
  <c r="P6" i="65" s="1"/>
  <c r="F6" i="65"/>
  <c r="M6" i="65" s="1"/>
  <c r="G6" i="65"/>
  <c r="N6" i="65" s="1"/>
  <c r="H6" i="65"/>
  <c r="O6" i="65" s="1"/>
  <c r="E6" i="65"/>
  <c r="L6" i="65" s="1"/>
  <c r="F72" i="44"/>
  <c r="F85" i="44"/>
  <c r="F206" i="44"/>
  <c r="B15" i="64"/>
  <c r="B12" i="64"/>
  <c r="B9" i="64"/>
  <c r="E14" i="64"/>
  <c r="F14" i="64"/>
  <c r="F13" i="64" s="1"/>
  <c r="F12" i="64" s="1"/>
  <c r="G14" i="64"/>
  <c r="H14" i="64"/>
  <c r="I14" i="64"/>
  <c r="I13" i="64" s="1"/>
  <c r="I12" i="64" s="1"/>
  <c r="J14" i="64"/>
  <c r="J13" i="64" s="1"/>
  <c r="J12" i="64" s="1"/>
  <c r="E17" i="64"/>
  <c r="E16" i="64" s="1"/>
  <c r="E15" i="64" s="1"/>
  <c r="F17" i="64"/>
  <c r="F16" i="64" s="1"/>
  <c r="F15" i="64" s="1"/>
  <c r="G17" i="64"/>
  <c r="G16" i="64" s="1"/>
  <c r="G15" i="64" s="1"/>
  <c r="H17" i="64"/>
  <c r="H16" i="64" s="1"/>
  <c r="H15" i="64" s="1"/>
  <c r="I17" i="64"/>
  <c r="I16" i="64" s="1"/>
  <c r="I15" i="64" s="1"/>
  <c r="J17" i="64"/>
  <c r="D17" i="64"/>
  <c r="D14" i="64"/>
  <c r="D13" i="64" s="1"/>
  <c r="D12" i="64" s="1"/>
  <c r="E8" i="44"/>
  <c r="E5" i="44" s="1"/>
  <c r="E201" i="44" s="1"/>
  <c r="F8" i="44"/>
  <c r="G8" i="44"/>
  <c r="E8" i="70" s="1"/>
  <c r="H8" i="44"/>
  <c r="F8" i="70" s="1"/>
  <c r="I8" i="44"/>
  <c r="G8" i="70" s="1"/>
  <c r="J8" i="44"/>
  <c r="H8" i="70" s="1"/>
  <c r="D8" i="44"/>
  <c r="B8" i="70" s="1"/>
  <c r="K7" i="44"/>
  <c r="I7" i="70" s="1"/>
  <c r="K146" i="44"/>
  <c r="K147" i="44"/>
  <c r="E145" i="44"/>
  <c r="E144" i="44" s="1"/>
  <c r="E9" i="44" s="1"/>
  <c r="C9" i="70" s="1"/>
  <c r="C39" i="70" s="1"/>
  <c r="F145" i="44"/>
  <c r="F144" i="44" s="1"/>
  <c r="G145" i="44"/>
  <c r="G144" i="44" s="1"/>
  <c r="G9" i="44" s="1"/>
  <c r="E9" i="70" s="1"/>
  <c r="E39" i="70" s="1"/>
  <c r="H145" i="44"/>
  <c r="H144" i="44" s="1"/>
  <c r="H9" i="44" s="1"/>
  <c r="F9" i="70" s="1"/>
  <c r="F39" i="70" s="1"/>
  <c r="I145" i="44"/>
  <c r="I144" i="44" s="1"/>
  <c r="I9" i="44" s="1"/>
  <c r="G9" i="70" s="1"/>
  <c r="G39" i="70" s="1"/>
  <c r="J9" i="44"/>
  <c r="H9" i="70" s="1"/>
  <c r="H39" i="70" s="1"/>
  <c r="D145" i="44"/>
  <c r="D144" i="44" s="1"/>
  <c r="D9" i="44" s="1"/>
  <c r="B9" i="70" s="1"/>
  <c r="B39" i="70" s="1"/>
  <c r="E28" i="63"/>
  <c r="F28" i="63"/>
  <c r="G28" i="63"/>
  <c r="G25" i="63" s="1"/>
  <c r="G24" i="63" s="1"/>
  <c r="H28" i="63"/>
  <c r="H25" i="63" s="1"/>
  <c r="H24" i="63" s="1"/>
  <c r="I28" i="63"/>
  <c r="J28" i="63"/>
  <c r="J25" i="63" s="1"/>
  <c r="J24" i="63" s="1"/>
  <c r="D28" i="63"/>
  <c r="E22" i="63"/>
  <c r="E21" i="63" s="1"/>
  <c r="E20" i="63" s="1"/>
  <c r="F22" i="63"/>
  <c r="F21" i="63" s="1"/>
  <c r="F20" i="63" s="1"/>
  <c r="G22" i="63"/>
  <c r="H22" i="63"/>
  <c r="H21" i="63" s="1"/>
  <c r="H20" i="63" s="1"/>
  <c r="I22" i="63"/>
  <c r="I21" i="63" s="1"/>
  <c r="I20" i="63" s="1"/>
  <c r="J22" i="63"/>
  <c r="D22" i="63"/>
  <c r="E18" i="63"/>
  <c r="E17" i="63" s="1"/>
  <c r="E16" i="63" s="1"/>
  <c r="F18" i="63"/>
  <c r="G18" i="63"/>
  <c r="G17" i="63" s="1"/>
  <c r="G16" i="63" s="1"/>
  <c r="H18" i="63"/>
  <c r="H17" i="63" s="1"/>
  <c r="H16" i="63" s="1"/>
  <c r="I18" i="63"/>
  <c r="I17" i="63" s="1"/>
  <c r="I16" i="63" s="1"/>
  <c r="J18" i="63"/>
  <c r="J17" i="63" s="1"/>
  <c r="J16" i="63" s="1"/>
  <c r="D18" i="63"/>
  <c r="D17" i="63" s="1"/>
  <c r="D16" i="63" s="1"/>
  <c r="E36" i="62"/>
  <c r="E35" i="62" s="1"/>
  <c r="E34" i="62" s="1"/>
  <c r="F36" i="62"/>
  <c r="F35" i="62" s="1"/>
  <c r="F34" i="62" s="1"/>
  <c r="G36" i="62"/>
  <c r="G35" i="62" s="1"/>
  <c r="G34" i="62" s="1"/>
  <c r="H36" i="62"/>
  <c r="H35" i="62" s="1"/>
  <c r="H34" i="62" s="1"/>
  <c r="I36" i="62"/>
  <c r="I35" i="62" s="1"/>
  <c r="I34" i="62" s="1"/>
  <c r="J36" i="62"/>
  <c r="J35" i="62" s="1"/>
  <c r="J34" i="62" s="1"/>
  <c r="D36" i="62"/>
  <c r="D35" i="62" s="1"/>
  <c r="D34" i="62" s="1"/>
  <c r="E32" i="62"/>
  <c r="E31" i="62" s="1"/>
  <c r="E30" i="62" s="1"/>
  <c r="F32" i="62"/>
  <c r="F31" i="62" s="1"/>
  <c r="F30" i="62" s="1"/>
  <c r="G32" i="62"/>
  <c r="G31" i="62" s="1"/>
  <c r="G30" i="62" s="1"/>
  <c r="H32" i="62"/>
  <c r="H31" i="62" s="1"/>
  <c r="H30" i="62" s="1"/>
  <c r="I32" i="62"/>
  <c r="I31" i="62" s="1"/>
  <c r="I30" i="62" s="1"/>
  <c r="J32" i="62"/>
  <c r="J31" i="62" s="1"/>
  <c r="J30" i="62" s="1"/>
  <c r="D32" i="62"/>
  <c r="D31" i="62" s="1"/>
  <c r="D30" i="62" s="1"/>
  <c r="E28" i="62"/>
  <c r="E27" i="62" s="1"/>
  <c r="E26" i="62" s="1"/>
  <c r="F28" i="62"/>
  <c r="F27" i="62" s="1"/>
  <c r="F26" i="62" s="1"/>
  <c r="G28" i="62"/>
  <c r="G27" i="62" s="1"/>
  <c r="G26" i="62" s="1"/>
  <c r="E25" i="62"/>
  <c r="E23" i="62" s="1"/>
  <c r="E22" i="62" s="1"/>
  <c r="F25" i="62"/>
  <c r="F23" i="62" s="1"/>
  <c r="F22" i="62" s="1"/>
  <c r="E20" i="62"/>
  <c r="F20" i="62"/>
  <c r="G20" i="62"/>
  <c r="E17" i="62"/>
  <c r="E15" i="62" s="1"/>
  <c r="E14" i="62" s="1"/>
  <c r="F17" i="62"/>
  <c r="F15" i="62" s="1"/>
  <c r="F14" i="62" s="1"/>
  <c r="B34" i="62"/>
  <c r="B30" i="62"/>
  <c r="B26" i="62"/>
  <c r="B22" i="62"/>
  <c r="B18" i="62"/>
  <c r="B14" i="62"/>
  <c r="B10" i="62"/>
  <c r="E17" i="61"/>
  <c r="E15" i="61" s="1"/>
  <c r="E14" i="61" s="1"/>
  <c r="F17" i="61"/>
  <c r="F13" i="61" s="1"/>
  <c r="G17" i="61"/>
  <c r="G15" i="61" s="1"/>
  <c r="G14" i="61" s="1"/>
  <c r="H17" i="61"/>
  <c r="H13" i="61" s="1"/>
  <c r="I17" i="61"/>
  <c r="J17" i="61"/>
  <c r="J13" i="61" s="1"/>
  <c r="J11" i="61" s="1"/>
  <c r="J10" i="61" s="1"/>
  <c r="D17" i="61"/>
  <c r="D13" i="61" s="1"/>
  <c r="D11" i="61" s="1"/>
  <c r="D10" i="61" s="1"/>
  <c r="B14" i="61"/>
  <c r="B10" i="61"/>
  <c r="B14" i="60"/>
  <c r="B10" i="60"/>
  <c r="E16" i="60"/>
  <c r="F16" i="60"/>
  <c r="F15" i="60" s="1"/>
  <c r="F14" i="60" s="1"/>
  <c r="G16" i="60"/>
  <c r="H16" i="60"/>
  <c r="I16" i="60"/>
  <c r="J16" i="60"/>
  <c r="J15" i="60" s="1"/>
  <c r="J14" i="60" s="1"/>
  <c r="D16" i="60"/>
  <c r="B58" i="59"/>
  <c r="B54" i="59"/>
  <c r="B50" i="59"/>
  <c r="B46" i="59"/>
  <c r="B42" i="59"/>
  <c r="B38" i="59"/>
  <c r="B34" i="59"/>
  <c r="B30" i="59"/>
  <c r="B26" i="59"/>
  <c r="B22" i="59"/>
  <c r="B18" i="59"/>
  <c r="B14" i="59"/>
  <c r="B10" i="59"/>
  <c r="E60" i="59"/>
  <c r="E56" i="59" s="1"/>
  <c r="E55" i="59" s="1"/>
  <c r="E54" i="59" s="1"/>
  <c r="F60" i="59"/>
  <c r="G60" i="59"/>
  <c r="H60" i="59"/>
  <c r="H59" i="59" s="1"/>
  <c r="H58" i="59" s="1"/>
  <c r="I60" i="59"/>
  <c r="I59" i="59" s="1"/>
  <c r="I58" i="59" s="1"/>
  <c r="J60" i="59"/>
  <c r="J59" i="59" s="1"/>
  <c r="J58" i="59" s="1"/>
  <c r="D60" i="59"/>
  <c r="D59" i="59" s="1"/>
  <c r="D58" i="59" s="1"/>
  <c r="E52" i="59"/>
  <c r="E51" i="59" s="1"/>
  <c r="E50" i="59" s="1"/>
  <c r="F52" i="59"/>
  <c r="F51" i="59" s="1"/>
  <c r="F50" i="59" s="1"/>
  <c r="G52" i="59"/>
  <c r="G51" i="59" s="1"/>
  <c r="G50" i="59" s="1"/>
  <c r="H52" i="59"/>
  <c r="H51" i="59" s="1"/>
  <c r="H50" i="59" s="1"/>
  <c r="I52" i="59"/>
  <c r="I51" i="59" s="1"/>
  <c r="I50" i="59" s="1"/>
  <c r="J52" i="59"/>
  <c r="J51" i="59" s="1"/>
  <c r="J50" i="59" s="1"/>
  <c r="D52" i="59"/>
  <c r="D51" i="59" s="1"/>
  <c r="D50" i="59" s="1"/>
  <c r="E48" i="59"/>
  <c r="E47" i="59" s="1"/>
  <c r="E46" i="59" s="1"/>
  <c r="F48" i="59"/>
  <c r="F47" i="59" s="1"/>
  <c r="F46" i="59" s="1"/>
  <c r="G48" i="59"/>
  <c r="G47" i="59" s="1"/>
  <c r="G46" i="59" s="1"/>
  <c r="H48" i="59"/>
  <c r="H47" i="59" s="1"/>
  <c r="H46" i="59" s="1"/>
  <c r="I48" i="59"/>
  <c r="I47" i="59" s="1"/>
  <c r="I46" i="59" s="1"/>
  <c r="J48" i="59"/>
  <c r="J47" i="59" s="1"/>
  <c r="J46" i="59" s="1"/>
  <c r="D48" i="59"/>
  <c r="D47" i="59" s="1"/>
  <c r="D46" i="59" s="1"/>
  <c r="E44" i="59"/>
  <c r="E43" i="59" s="1"/>
  <c r="E42" i="59" s="1"/>
  <c r="F44" i="59"/>
  <c r="F43" i="59" s="1"/>
  <c r="F42" i="59" s="1"/>
  <c r="G44" i="59"/>
  <c r="G43" i="59" s="1"/>
  <c r="G42" i="59" s="1"/>
  <c r="H44" i="59"/>
  <c r="H43" i="59" s="1"/>
  <c r="H42" i="59" s="1"/>
  <c r="I44" i="59"/>
  <c r="I43" i="59" s="1"/>
  <c r="I42" i="59" s="1"/>
  <c r="J44" i="59"/>
  <c r="J43" i="59" s="1"/>
  <c r="J42" i="59" s="1"/>
  <c r="D44" i="59"/>
  <c r="D43" i="59" s="1"/>
  <c r="D42" i="59" s="1"/>
  <c r="E40" i="59"/>
  <c r="E39" i="59" s="1"/>
  <c r="E38" i="59" s="1"/>
  <c r="F40" i="59"/>
  <c r="F39" i="59" s="1"/>
  <c r="F38" i="59" s="1"/>
  <c r="G40" i="59"/>
  <c r="G39" i="59" s="1"/>
  <c r="G38" i="59" s="1"/>
  <c r="H40" i="59"/>
  <c r="H39" i="59" s="1"/>
  <c r="H38" i="59" s="1"/>
  <c r="I40" i="59"/>
  <c r="I39" i="59" s="1"/>
  <c r="I38" i="59" s="1"/>
  <c r="J40" i="59"/>
  <c r="J39" i="59" s="1"/>
  <c r="J38" i="59" s="1"/>
  <c r="D40" i="59"/>
  <c r="D39" i="59" s="1"/>
  <c r="D38" i="59" s="1"/>
  <c r="E32" i="59"/>
  <c r="E31" i="59" s="1"/>
  <c r="E30" i="59" s="1"/>
  <c r="F32" i="59"/>
  <c r="F31" i="59" s="1"/>
  <c r="F30" i="59" s="1"/>
  <c r="G32" i="59"/>
  <c r="G31" i="59" s="1"/>
  <c r="G30" i="59" s="1"/>
  <c r="H32" i="59"/>
  <c r="H31" i="59" s="1"/>
  <c r="H30" i="59" s="1"/>
  <c r="I32" i="59"/>
  <c r="I31" i="59" s="1"/>
  <c r="I30" i="59" s="1"/>
  <c r="J32" i="59"/>
  <c r="J31" i="59" s="1"/>
  <c r="J30" i="59" s="1"/>
  <c r="D32" i="59"/>
  <c r="D31" i="59" s="1"/>
  <c r="D30" i="59" s="1"/>
  <c r="E28" i="59"/>
  <c r="F28" i="59"/>
  <c r="F27" i="59" s="1"/>
  <c r="F26" i="59" s="1"/>
  <c r="G28" i="59"/>
  <c r="G27" i="59" s="1"/>
  <c r="G26" i="59" s="1"/>
  <c r="H28" i="59"/>
  <c r="H27" i="59" s="1"/>
  <c r="H26" i="59" s="1"/>
  <c r="I28" i="59"/>
  <c r="I27" i="59" s="1"/>
  <c r="I26" i="59" s="1"/>
  <c r="J28" i="59"/>
  <c r="J27" i="59" s="1"/>
  <c r="J26" i="59" s="1"/>
  <c r="D28" i="59"/>
  <c r="D27" i="59" s="1"/>
  <c r="D26" i="59" s="1"/>
  <c r="E24" i="59"/>
  <c r="E23" i="59" s="1"/>
  <c r="E22" i="59" s="1"/>
  <c r="F24" i="59"/>
  <c r="G24" i="59"/>
  <c r="G23" i="59" s="1"/>
  <c r="G22" i="59" s="1"/>
  <c r="H24" i="59"/>
  <c r="H23" i="59" s="1"/>
  <c r="H22" i="59" s="1"/>
  <c r="I24" i="59"/>
  <c r="I23" i="59" s="1"/>
  <c r="I22" i="59" s="1"/>
  <c r="J24" i="59"/>
  <c r="J23" i="59" s="1"/>
  <c r="J22" i="59" s="1"/>
  <c r="D24" i="59"/>
  <c r="D23" i="59" s="1"/>
  <c r="D22" i="59" s="1"/>
  <c r="F20" i="59"/>
  <c r="F19" i="59" s="1"/>
  <c r="F18" i="59" s="1"/>
  <c r="G20" i="59"/>
  <c r="G19" i="59" s="1"/>
  <c r="G18" i="59" s="1"/>
  <c r="H20" i="59"/>
  <c r="H19" i="59" s="1"/>
  <c r="H18" i="59" s="1"/>
  <c r="I20" i="59"/>
  <c r="I19" i="59" s="1"/>
  <c r="I18" i="59" s="1"/>
  <c r="J20" i="59"/>
  <c r="E16" i="59"/>
  <c r="E15" i="59" s="1"/>
  <c r="E14" i="59" s="1"/>
  <c r="F16" i="59"/>
  <c r="F15" i="59" s="1"/>
  <c r="F14" i="59" s="1"/>
  <c r="G16" i="59"/>
  <c r="G15" i="59" s="1"/>
  <c r="G14" i="59" s="1"/>
  <c r="H16" i="59"/>
  <c r="H15" i="59" s="1"/>
  <c r="H14" i="59" s="1"/>
  <c r="I16" i="59"/>
  <c r="I15" i="59" s="1"/>
  <c r="I14" i="59" s="1"/>
  <c r="J16" i="59"/>
  <c r="J15" i="59" s="1"/>
  <c r="J14" i="59" s="1"/>
  <c r="D16" i="59"/>
  <c r="D15" i="59" s="1"/>
  <c r="D14" i="59" s="1"/>
  <c r="B71" i="58"/>
  <c r="B67" i="58"/>
  <c r="B63" i="58"/>
  <c r="B59" i="58"/>
  <c r="B55" i="58"/>
  <c r="B51" i="58"/>
  <c r="B47" i="58"/>
  <c r="B43" i="58"/>
  <c r="B39" i="58"/>
  <c r="B35" i="58"/>
  <c r="B31" i="58"/>
  <c r="B27" i="58"/>
  <c r="B22" i="58"/>
  <c r="B18" i="58"/>
  <c r="E73" i="58"/>
  <c r="E72" i="58" s="1"/>
  <c r="E71" i="58" s="1"/>
  <c r="F73" i="58"/>
  <c r="F72" i="58" s="1"/>
  <c r="F71" i="58" s="1"/>
  <c r="G73" i="58"/>
  <c r="G72" i="58" s="1"/>
  <c r="G71" i="58" s="1"/>
  <c r="H73" i="58"/>
  <c r="H72" i="58" s="1"/>
  <c r="H71" i="58" s="1"/>
  <c r="I73" i="58"/>
  <c r="I72" i="58" s="1"/>
  <c r="I71" i="58" s="1"/>
  <c r="J73" i="58"/>
  <c r="J72" i="58" s="1"/>
  <c r="J71" i="58" s="1"/>
  <c r="D73" i="58"/>
  <c r="D72" i="58" s="1"/>
  <c r="D71" i="58" s="1"/>
  <c r="E69" i="58"/>
  <c r="E68" i="58" s="1"/>
  <c r="E67" i="58" s="1"/>
  <c r="F69" i="58"/>
  <c r="G69" i="58"/>
  <c r="G68" i="58" s="1"/>
  <c r="G67" i="58" s="1"/>
  <c r="H69" i="58"/>
  <c r="H68" i="58" s="1"/>
  <c r="H67" i="58" s="1"/>
  <c r="I69" i="58"/>
  <c r="I68" i="58" s="1"/>
  <c r="I67" i="58" s="1"/>
  <c r="J69" i="58"/>
  <c r="D69" i="58"/>
  <c r="D68" i="58" s="1"/>
  <c r="D67" i="58" s="1"/>
  <c r="E61" i="58"/>
  <c r="F61" i="58"/>
  <c r="F60" i="58" s="1"/>
  <c r="F59" i="58" s="1"/>
  <c r="G61" i="58"/>
  <c r="H61" i="58"/>
  <c r="H60" i="58" s="1"/>
  <c r="H59" i="58" s="1"/>
  <c r="I61" i="58"/>
  <c r="I60" i="58" s="1"/>
  <c r="I59" i="58" s="1"/>
  <c r="J61" i="58"/>
  <c r="J60" i="58" s="1"/>
  <c r="J59" i="58" s="1"/>
  <c r="D61" i="58"/>
  <c r="D57" i="58" s="1"/>
  <c r="D56" i="58" s="1"/>
  <c r="D55" i="58" s="1"/>
  <c r="E53" i="58"/>
  <c r="E52" i="58" s="1"/>
  <c r="E51" i="58" s="1"/>
  <c r="F53" i="58"/>
  <c r="G53" i="58"/>
  <c r="G52" i="58" s="1"/>
  <c r="G51" i="58" s="1"/>
  <c r="H53" i="58"/>
  <c r="H52" i="58" s="1"/>
  <c r="H51" i="58" s="1"/>
  <c r="I53" i="58"/>
  <c r="I52" i="58" s="1"/>
  <c r="I51" i="58" s="1"/>
  <c r="J53" i="58"/>
  <c r="J52" i="58" s="1"/>
  <c r="J51" i="58" s="1"/>
  <c r="D53" i="58"/>
  <c r="E45" i="58"/>
  <c r="E44" i="58" s="1"/>
  <c r="E43" i="58" s="1"/>
  <c r="F45" i="58"/>
  <c r="F44" i="58" s="1"/>
  <c r="F43" i="58" s="1"/>
  <c r="G45" i="58"/>
  <c r="H45" i="58"/>
  <c r="H44" i="58" s="1"/>
  <c r="H43" i="58" s="1"/>
  <c r="I45" i="58"/>
  <c r="J45" i="58"/>
  <c r="J44" i="58" s="1"/>
  <c r="J43" i="58" s="1"/>
  <c r="D45" i="58"/>
  <c r="D41" i="58" s="1"/>
  <c r="D40" i="58" s="1"/>
  <c r="D39" i="58" s="1"/>
  <c r="E37" i="58"/>
  <c r="E36" i="58" s="1"/>
  <c r="E35" i="58" s="1"/>
  <c r="F37" i="58"/>
  <c r="F36" i="58" s="1"/>
  <c r="F35" i="58" s="1"/>
  <c r="G37" i="58"/>
  <c r="G36" i="58" s="1"/>
  <c r="G35" i="58" s="1"/>
  <c r="H37" i="58"/>
  <c r="H36" i="58" s="1"/>
  <c r="H35" i="58" s="1"/>
  <c r="I37" i="58"/>
  <c r="I36" i="58" s="1"/>
  <c r="I35" i="58" s="1"/>
  <c r="J37" i="58"/>
  <c r="J36" i="58" s="1"/>
  <c r="J35" i="58" s="1"/>
  <c r="D37" i="58"/>
  <c r="D36" i="58" s="1"/>
  <c r="D35" i="58" s="1"/>
  <c r="E33" i="58"/>
  <c r="E32" i="58" s="1"/>
  <c r="E31" i="58" s="1"/>
  <c r="F33" i="58"/>
  <c r="F32" i="58" s="1"/>
  <c r="F31" i="58" s="1"/>
  <c r="G33" i="58"/>
  <c r="G32" i="58" s="1"/>
  <c r="G31" i="58" s="1"/>
  <c r="H33" i="58"/>
  <c r="H32" i="58" s="1"/>
  <c r="H31" i="58" s="1"/>
  <c r="I33" i="58"/>
  <c r="I32" i="58" s="1"/>
  <c r="I31" i="58" s="1"/>
  <c r="J33" i="58"/>
  <c r="J32" i="58" s="1"/>
  <c r="J31" i="58" s="1"/>
  <c r="D33" i="58"/>
  <c r="E17" i="58"/>
  <c r="E10" i="58"/>
  <c r="F17" i="58"/>
  <c r="F10" i="58"/>
  <c r="G17" i="58"/>
  <c r="G10" i="58"/>
  <c r="H17" i="58"/>
  <c r="H10" i="58"/>
  <c r="I17" i="58"/>
  <c r="I10" i="58"/>
  <c r="J17" i="58"/>
  <c r="J10" i="58"/>
  <c r="D17" i="58"/>
  <c r="D10" i="58"/>
  <c r="E23" i="58"/>
  <c r="F23" i="58"/>
  <c r="F22" i="58" s="1"/>
  <c r="G23" i="58"/>
  <c r="G22" i="58" s="1"/>
  <c r="H23" i="58"/>
  <c r="I23" i="58"/>
  <c r="I22" i="58" s="1"/>
  <c r="J23" i="58"/>
  <c r="G24" i="58"/>
  <c r="D23" i="58"/>
  <c r="E20" i="58"/>
  <c r="E19" i="58" s="1"/>
  <c r="E18" i="58" s="1"/>
  <c r="G20" i="58"/>
  <c r="G19" i="58" s="1"/>
  <c r="G18" i="58" s="1"/>
  <c r="H20" i="58"/>
  <c r="H19" i="58" s="1"/>
  <c r="H18" i="58" s="1"/>
  <c r="I20" i="58"/>
  <c r="I19" i="58" s="1"/>
  <c r="I18" i="58" s="1"/>
  <c r="J20" i="58"/>
  <c r="J19" i="58" s="1"/>
  <c r="J18" i="58" s="1"/>
  <c r="D20" i="58"/>
  <c r="D19" i="58" s="1"/>
  <c r="D18" i="58" s="1"/>
  <c r="E24" i="54"/>
  <c r="E23" i="54" s="1"/>
  <c r="E22" i="54" s="1"/>
  <c r="F24" i="54"/>
  <c r="F23" i="54" s="1"/>
  <c r="F22" i="54" s="1"/>
  <c r="G24" i="54"/>
  <c r="G23" i="54" s="1"/>
  <c r="G22" i="54" s="1"/>
  <c r="H24" i="54"/>
  <c r="H23" i="54" s="1"/>
  <c r="H22" i="54" s="1"/>
  <c r="I24" i="54"/>
  <c r="I23" i="54" s="1"/>
  <c r="I22" i="54" s="1"/>
  <c r="J24" i="54"/>
  <c r="J23" i="54" s="1"/>
  <c r="J22" i="54" s="1"/>
  <c r="D24" i="54"/>
  <c r="D23" i="54" s="1"/>
  <c r="D22" i="54" s="1"/>
  <c r="E20" i="54"/>
  <c r="E19" i="54" s="1"/>
  <c r="E18" i="54" s="1"/>
  <c r="F20" i="54"/>
  <c r="G20" i="54"/>
  <c r="G19" i="54" s="1"/>
  <c r="G18" i="54" s="1"/>
  <c r="H20" i="54"/>
  <c r="H19" i="54" s="1"/>
  <c r="H18" i="54" s="1"/>
  <c r="I20" i="54"/>
  <c r="I19" i="54" s="1"/>
  <c r="I18" i="54" s="1"/>
  <c r="J20" i="54"/>
  <c r="J19" i="54" s="1"/>
  <c r="J18" i="54" s="1"/>
  <c r="D20" i="54"/>
  <c r="D19" i="54" s="1"/>
  <c r="D18" i="54" s="1"/>
  <c r="E16" i="54"/>
  <c r="F16" i="54"/>
  <c r="F15" i="54" s="1"/>
  <c r="F14" i="54" s="1"/>
  <c r="G16" i="54"/>
  <c r="H16" i="54"/>
  <c r="H15" i="54" s="1"/>
  <c r="H14" i="54" s="1"/>
  <c r="I16" i="54"/>
  <c r="J16" i="54"/>
  <c r="J15" i="54" s="1"/>
  <c r="J14" i="54" s="1"/>
  <c r="D16" i="54"/>
  <c r="D15" i="54" s="1"/>
  <c r="D14" i="54" s="1"/>
  <c r="B22" i="54"/>
  <c r="B18" i="54"/>
  <c r="B14" i="54"/>
  <c r="B10" i="54"/>
  <c r="B14" i="53"/>
  <c r="B10" i="53"/>
  <c r="E16" i="53"/>
  <c r="E15" i="53" s="1"/>
  <c r="E14" i="53" s="1"/>
  <c r="F16" i="53"/>
  <c r="G16" i="53"/>
  <c r="G15" i="53" s="1"/>
  <c r="G14" i="53" s="1"/>
  <c r="H16" i="53"/>
  <c r="H12" i="53" s="1"/>
  <c r="I16" i="53"/>
  <c r="I15" i="53" s="1"/>
  <c r="I14" i="53" s="1"/>
  <c r="J16" i="53"/>
  <c r="J15" i="53" s="1"/>
  <c r="J14" i="53" s="1"/>
  <c r="D16" i="53"/>
  <c r="D15" i="53" s="1"/>
  <c r="D14" i="53" s="1"/>
  <c r="B74" i="52"/>
  <c r="B70" i="52"/>
  <c r="B66" i="52"/>
  <c r="B62" i="52"/>
  <c r="B58" i="52"/>
  <c r="B54" i="52"/>
  <c r="B50" i="52"/>
  <c r="B46" i="52"/>
  <c r="B42" i="52"/>
  <c r="B38" i="52"/>
  <c r="B34" i="52"/>
  <c r="B30" i="52"/>
  <c r="B26" i="52"/>
  <c r="B22" i="52"/>
  <c r="B18" i="52"/>
  <c r="B14" i="52"/>
  <c r="B10" i="52"/>
  <c r="E77" i="52"/>
  <c r="E75" i="52" s="1"/>
  <c r="E74" i="52" s="1"/>
  <c r="F77" i="52"/>
  <c r="G77" i="52"/>
  <c r="G75" i="52" s="1"/>
  <c r="G74" i="52" s="1"/>
  <c r="H77" i="52"/>
  <c r="H75" i="52" s="1"/>
  <c r="H74" i="52" s="1"/>
  <c r="I77" i="52"/>
  <c r="I75" i="52" s="1"/>
  <c r="I74" i="52" s="1"/>
  <c r="J77" i="52"/>
  <c r="D77" i="52"/>
  <c r="D75" i="52" s="1"/>
  <c r="D74" i="52" s="1"/>
  <c r="E73" i="52"/>
  <c r="E71" i="52" s="1"/>
  <c r="E70" i="52" s="1"/>
  <c r="F73" i="52"/>
  <c r="F71" i="52" s="1"/>
  <c r="F70" i="52" s="1"/>
  <c r="G73" i="52"/>
  <c r="G71" i="52" s="1"/>
  <c r="G70" i="52" s="1"/>
  <c r="H73" i="52"/>
  <c r="H71" i="52" s="1"/>
  <c r="H70" i="52" s="1"/>
  <c r="I73" i="52"/>
  <c r="J73" i="52"/>
  <c r="J71" i="52" s="1"/>
  <c r="J70" i="52" s="1"/>
  <c r="D73" i="52"/>
  <c r="D71" i="52" s="1"/>
  <c r="D70" i="52" s="1"/>
  <c r="E68" i="52"/>
  <c r="E67" i="52" s="1"/>
  <c r="E66" i="52" s="1"/>
  <c r="D68" i="52"/>
  <c r="D67" i="52" s="1"/>
  <c r="D66" i="52" s="1"/>
  <c r="E64" i="52"/>
  <c r="E63" i="52" s="1"/>
  <c r="E62" i="52" s="1"/>
  <c r="G64" i="52"/>
  <c r="G63" i="52" s="1"/>
  <c r="G62" i="52" s="1"/>
  <c r="H64" i="52"/>
  <c r="H63" i="52" s="1"/>
  <c r="H62" i="52" s="1"/>
  <c r="I64" i="52"/>
  <c r="J64" i="52"/>
  <c r="J63" i="52" s="1"/>
  <c r="J62" i="52" s="1"/>
  <c r="D64" i="52"/>
  <c r="E57" i="52"/>
  <c r="E55" i="52" s="1"/>
  <c r="E54" i="52" s="1"/>
  <c r="F57" i="52"/>
  <c r="G57" i="52"/>
  <c r="G55" i="52" s="1"/>
  <c r="G54" i="52" s="1"/>
  <c r="H57" i="52"/>
  <c r="H53" i="52" s="1"/>
  <c r="H51" i="52" s="1"/>
  <c r="H50" i="52" s="1"/>
  <c r="I57" i="52"/>
  <c r="I55" i="52" s="1"/>
  <c r="I54" i="52" s="1"/>
  <c r="J57" i="52"/>
  <c r="D57" i="52"/>
  <c r="D53" i="52" s="1"/>
  <c r="E49" i="52"/>
  <c r="E47" i="52" s="1"/>
  <c r="E46" i="52" s="1"/>
  <c r="F49" i="52"/>
  <c r="F47" i="52" s="1"/>
  <c r="F46" i="52" s="1"/>
  <c r="G49" i="52"/>
  <c r="G47" i="52" s="1"/>
  <c r="G46" i="52" s="1"/>
  <c r="H49" i="52"/>
  <c r="H47" i="52" s="1"/>
  <c r="H46" i="52" s="1"/>
  <c r="I49" i="52"/>
  <c r="I47" i="52" s="1"/>
  <c r="I46" i="52" s="1"/>
  <c r="J49" i="52"/>
  <c r="J47" i="52" s="1"/>
  <c r="J46" i="52" s="1"/>
  <c r="D49" i="52"/>
  <c r="D47" i="52" s="1"/>
  <c r="D46" i="52" s="1"/>
  <c r="E44" i="52"/>
  <c r="E43" i="52" s="1"/>
  <c r="E42" i="52" s="1"/>
  <c r="F44" i="52"/>
  <c r="F43" i="52" s="1"/>
  <c r="F42" i="52" s="1"/>
  <c r="G44" i="52"/>
  <c r="G43" i="52" s="1"/>
  <c r="G42" i="52" s="1"/>
  <c r="H44" i="52"/>
  <c r="H43" i="52" s="1"/>
  <c r="H42" i="52" s="1"/>
  <c r="I44" i="52"/>
  <c r="I43" i="52" s="1"/>
  <c r="I42" i="52" s="1"/>
  <c r="J44" i="52"/>
  <c r="J43" i="52" s="1"/>
  <c r="J42" i="52" s="1"/>
  <c r="D44" i="52"/>
  <c r="D43" i="52" s="1"/>
  <c r="D42" i="52" s="1"/>
  <c r="E41" i="52"/>
  <c r="E39" i="52" s="1"/>
  <c r="E38" i="52" s="1"/>
  <c r="F41" i="52"/>
  <c r="G41" i="52"/>
  <c r="G39" i="52" s="1"/>
  <c r="G38" i="52" s="1"/>
  <c r="H41" i="52"/>
  <c r="I41" i="52"/>
  <c r="I39" i="52" s="1"/>
  <c r="I38" i="52" s="1"/>
  <c r="J41" i="52"/>
  <c r="D41" i="52"/>
  <c r="D39" i="52" s="1"/>
  <c r="D38" i="52" s="1"/>
  <c r="E36" i="52"/>
  <c r="E35" i="52" s="1"/>
  <c r="E34" i="52" s="1"/>
  <c r="F36" i="52"/>
  <c r="F35" i="52" s="1"/>
  <c r="F34" i="52" s="1"/>
  <c r="G36" i="52"/>
  <c r="G35" i="52" s="1"/>
  <c r="G34" i="52" s="1"/>
  <c r="H36" i="52"/>
  <c r="H35" i="52" s="1"/>
  <c r="H34" i="52" s="1"/>
  <c r="I36" i="52"/>
  <c r="I35" i="52" s="1"/>
  <c r="I34" i="52" s="1"/>
  <c r="J36" i="52"/>
  <c r="J35" i="52" s="1"/>
  <c r="J34" i="52" s="1"/>
  <c r="D36" i="52"/>
  <c r="D35" i="52" s="1"/>
  <c r="D34" i="52" s="1"/>
  <c r="E32" i="52"/>
  <c r="E31" i="52" s="1"/>
  <c r="E30" i="52" s="1"/>
  <c r="F32" i="52"/>
  <c r="F31" i="52" s="1"/>
  <c r="F30" i="52" s="1"/>
  <c r="G32" i="52"/>
  <c r="G31" i="52" s="1"/>
  <c r="G30" i="52" s="1"/>
  <c r="H32" i="52"/>
  <c r="H31" i="52" s="1"/>
  <c r="H30" i="52" s="1"/>
  <c r="I32" i="52"/>
  <c r="I31" i="52" s="1"/>
  <c r="I30" i="52" s="1"/>
  <c r="J32" i="52"/>
  <c r="J31" i="52" s="1"/>
  <c r="J30" i="52" s="1"/>
  <c r="D32" i="52"/>
  <c r="D31" i="52" s="1"/>
  <c r="D30" i="52" s="1"/>
  <c r="E28" i="52"/>
  <c r="E27" i="52" s="1"/>
  <c r="E26" i="52" s="1"/>
  <c r="F28" i="52"/>
  <c r="F27" i="52" s="1"/>
  <c r="F26" i="52" s="1"/>
  <c r="G28" i="52"/>
  <c r="G27" i="52" s="1"/>
  <c r="G26" i="52" s="1"/>
  <c r="H28" i="52"/>
  <c r="H27" i="52" s="1"/>
  <c r="H26" i="52" s="1"/>
  <c r="I28" i="52"/>
  <c r="I27" i="52" s="1"/>
  <c r="I26" i="52" s="1"/>
  <c r="J28" i="52"/>
  <c r="J27" i="52" s="1"/>
  <c r="J26" i="52" s="1"/>
  <c r="D28" i="52"/>
  <c r="D27" i="52" s="1"/>
  <c r="D26" i="52" s="1"/>
  <c r="E24" i="52"/>
  <c r="E23" i="52" s="1"/>
  <c r="E22" i="52" s="1"/>
  <c r="F24" i="52"/>
  <c r="G24" i="52"/>
  <c r="G23" i="52" s="1"/>
  <c r="G22" i="52" s="1"/>
  <c r="H24" i="52"/>
  <c r="H23" i="52" s="1"/>
  <c r="H22" i="52" s="1"/>
  <c r="I24" i="52"/>
  <c r="I23" i="52" s="1"/>
  <c r="I22" i="52" s="1"/>
  <c r="J24" i="52"/>
  <c r="J23" i="52" s="1"/>
  <c r="J22" i="52" s="1"/>
  <c r="D24" i="52"/>
  <c r="D23" i="52" s="1"/>
  <c r="D22" i="52" s="1"/>
  <c r="E20" i="52"/>
  <c r="E19" i="52" s="1"/>
  <c r="E18" i="52" s="1"/>
  <c r="F20" i="52"/>
  <c r="F19" i="52" s="1"/>
  <c r="F18" i="52" s="1"/>
  <c r="G20" i="52"/>
  <c r="G19" i="52" s="1"/>
  <c r="G18" i="52" s="1"/>
  <c r="H20" i="52"/>
  <c r="H19" i="52" s="1"/>
  <c r="H18" i="52" s="1"/>
  <c r="I20" i="52"/>
  <c r="I19" i="52" s="1"/>
  <c r="I18" i="52" s="1"/>
  <c r="J20" i="52"/>
  <c r="J19" i="52" s="1"/>
  <c r="J18" i="52" s="1"/>
  <c r="D20" i="52"/>
  <c r="D19" i="52" s="1"/>
  <c r="D18" i="52" s="1"/>
  <c r="G16" i="52"/>
  <c r="G15" i="52" s="1"/>
  <c r="G14" i="52" s="1"/>
  <c r="H16" i="52"/>
  <c r="I16" i="52"/>
  <c r="I15" i="52" s="1"/>
  <c r="I14" i="52" s="1"/>
  <c r="J16" i="52"/>
  <c r="J15" i="52" s="1"/>
  <c r="J14" i="52" s="1"/>
  <c r="E56" i="50"/>
  <c r="E55" i="50" s="1"/>
  <c r="E54" i="50" s="1"/>
  <c r="F56" i="50"/>
  <c r="F55" i="50" s="1"/>
  <c r="F54" i="50" s="1"/>
  <c r="G56" i="50"/>
  <c r="G55" i="50" s="1"/>
  <c r="G54" i="50" s="1"/>
  <c r="H56" i="50"/>
  <c r="H55" i="50" s="1"/>
  <c r="H54" i="50" s="1"/>
  <c r="I56" i="50"/>
  <c r="I55" i="50" s="1"/>
  <c r="I54" i="50" s="1"/>
  <c r="J56" i="50"/>
  <c r="J55" i="50" s="1"/>
  <c r="J54" i="50" s="1"/>
  <c r="D56" i="50"/>
  <c r="D55" i="50" s="1"/>
  <c r="D54" i="50" s="1"/>
  <c r="E52" i="50"/>
  <c r="E51" i="50" s="1"/>
  <c r="E50" i="50" s="1"/>
  <c r="F52" i="50"/>
  <c r="F51" i="50" s="1"/>
  <c r="F50" i="50" s="1"/>
  <c r="G52" i="50"/>
  <c r="G51" i="50" s="1"/>
  <c r="G50" i="50" s="1"/>
  <c r="H52" i="50"/>
  <c r="H51" i="50" s="1"/>
  <c r="H50" i="50" s="1"/>
  <c r="I52" i="50"/>
  <c r="I51" i="50" s="1"/>
  <c r="I50" i="50" s="1"/>
  <c r="J52" i="50"/>
  <c r="J51" i="50" s="1"/>
  <c r="J50" i="50" s="1"/>
  <c r="D52" i="50"/>
  <c r="D51" i="50" s="1"/>
  <c r="D50" i="50" s="1"/>
  <c r="E48" i="50"/>
  <c r="E47" i="50" s="1"/>
  <c r="E46" i="50" s="1"/>
  <c r="F48" i="50"/>
  <c r="F47" i="50" s="1"/>
  <c r="F46" i="50" s="1"/>
  <c r="G48" i="50"/>
  <c r="G47" i="50" s="1"/>
  <c r="G46" i="50" s="1"/>
  <c r="H48" i="50"/>
  <c r="H47" i="50" s="1"/>
  <c r="H46" i="50" s="1"/>
  <c r="I48" i="50"/>
  <c r="I47" i="50" s="1"/>
  <c r="I46" i="50" s="1"/>
  <c r="J48" i="50"/>
  <c r="J47" i="50" s="1"/>
  <c r="J46" i="50" s="1"/>
  <c r="D48" i="50"/>
  <c r="D47" i="50" s="1"/>
  <c r="D46" i="50" s="1"/>
  <c r="E45" i="50"/>
  <c r="E43" i="50" s="1"/>
  <c r="E42" i="50" s="1"/>
  <c r="F45" i="50"/>
  <c r="F43" i="50" s="1"/>
  <c r="F42" i="50" s="1"/>
  <c r="G45" i="50"/>
  <c r="G43" i="50" s="1"/>
  <c r="G42" i="50" s="1"/>
  <c r="H45" i="50"/>
  <c r="H43" i="50" s="1"/>
  <c r="H42" i="50" s="1"/>
  <c r="I45" i="50"/>
  <c r="I43" i="50" s="1"/>
  <c r="I42" i="50" s="1"/>
  <c r="J45" i="50"/>
  <c r="J43" i="50" s="1"/>
  <c r="J42" i="50" s="1"/>
  <c r="D45" i="50"/>
  <c r="D43" i="50" s="1"/>
  <c r="D42" i="50" s="1"/>
  <c r="E41" i="50"/>
  <c r="E39" i="50" s="1"/>
  <c r="E38" i="50" s="1"/>
  <c r="F41" i="50"/>
  <c r="G41" i="50"/>
  <c r="G39" i="50" s="1"/>
  <c r="G38" i="50" s="1"/>
  <c r="H41" i="50"/>
  <c r="I41" i="50"/>
  <c r="I39" i="50" s="1"/>
  <c r="I38" i="50" s="1"/>
  <c r="J41" i="50"/>
  <c r="D41" i="50"/>
  <c r="E36" i="50"/>
  <c r="E35" i="50" s="1"/>
  <c r="E34" i="50" s="1"/>
  <c r="F36" i="50"/>
  <c r="F35" i="50" s="1"/>
  <c r="F34" i="50" s="1"/>
  <c r="G36" i="50"/>
  <c r="G35" i="50" s="1"/>
  <c r="G34" i="50" s="1"/>
  <c r="H36" i="50"/>
  <c r="H35" i="50" s="1"/>
  <c r="H34" i="50" s="1"/>
  <c r="I36" i="50"/>
  <c r="I35" i="50" s="1"/>
  <c r="I34" i="50" s="1"/>
  <c r="J36" i="50"/>
  <c r="J35" i="50" s="1"/>
  <c r="J34" i="50" s="1"/>
  <c r="D36" i="50"/>
  <c r="D35" i="50" s="1"/>
  <c r="D34" i="50" s="1"/>
  <c r="E32" i="50"/>
  <c r="E31" i="50" s="1"/>
  <c r="E30" i="50" s="1"/>
  <c r="F32" i="50"/>
  <c r="F31" i="50" s="1"/>
  <c r="F30" i="50" s="1"/>
  <c r="G32" i="50"/>
  <c r="G31" i="50" s="1"/>
  <c r="G30" i="50" s="1"/>
  <c r="H32" i="50"/>
  <c r="H31" i="50" s="1"/>
  <c r="H30" i="50" s="1"/>
  <c r="I32" i="50"/>
  <c r="I31" i="50" s="1"/>
  <c r="I30" i="50" s="1"/>
  <c r="J32" i="50"/>
  <c r="J31" i="50" s="1"/>
  <c r="J30" i="50" s="1"/>
  <c r="D32" i="50"/>
  <c r="D31" i="50" s="1"/>
  <c r="D30" i="50" s="1"/>
  <c r="E28" i="50"/>
  <c r="E27" i="50" s="1"/>
  <c r="E26" i="50" s="1"/>
  <c r="F28" i="50"/>
  <c r="F27" i="50" s="1"/>
  <c r="F26" i="50" s="1"/>
  <c r="G28" i="50"/>
  <c r="G27" i="50" s="1"/>
  <c r="G26" i="50" s="1"/>
  <c r="H28" i="50"/>
  <c r="H27" i="50" s="1"/>
  <c r="H26" i="50" s="1"/>
  <c r="I28" i="50"/>
  <c r="I27" i="50" s="1"/>
  <c r="I26" i="50" s="1"/>
  <c r="J28" i="50"/>
  <c r="J27" i="50" s="1"/>
  <c r="J26" i="50" s="1"/>
  <c r="D28" i="50"/>
  <c r="D27" i="50" s="1"/>
  <c r="D26" i="50" s="1"/>
  <c r="E24" i="50"/>
  <c r="E23" i="50" s="1"/>
  <c r="E22" i="50" s="1"/>
  <c r="F24" i="50"/>
  <c r="G24" i="50"/>
  <c r="G23" i="50" s="1"/>
  <c r="G22" i="50" s="1"/>
  <c r="H24" i="50"/>
  <c r="H23" i="50" s="1"/>
  <c r="H22" i="50" s="1"/>
  <c r="I24" i="50"/>
  <c r="I23" i="50" s="1"/>
  <c r="I22" i="50" s="1"/>
  <c r="J24" i="50"/>
  <c r="D24" i="50"/>
  <c r="D23" i="50" s="1"/>
  <c r="D22" i="50" s="1"/>
  <c r="E20" i="50"/>
  <c r="E19" i="50" s="1"/>
  <c r="E18" i="50" s="1"/>
  <c r="F20" i="50"/>
  <c r="F19" i="50" s="1"/>
  <c r="F18" i="50" s="1"/>
  <c r="G20" i="50"/>
  <c r="H20" i="50"/>
  <c r="H19" i="50" s="1"/>
  <c r="H18" i="50" s="1"/>
  <c r="I20" i="50"/>
  <c r="I19" i="50" s="1"/>
  <c r="I18" i="50" s="1"/>
  <c r="J20" i="50"/>
  <c r="J19" i="50" s="1"/>
  <c r="J18" i="50" s="1"/>
  <c r="D20" i="50"/>
  <c r="D19" i="50" s="1"/>
  <c r="D18" i="50" s="1"/>
  <c r="B54" i="50"/>
  <c r="B50" i="50"/>
  <c r="B46" i="50"/>
  <c r="B42" i="50"/>
  <c r="B38" i="50"/>
  <c r="B34" i="50"/>
  <c r="B30" i="50"/>
  <c r="B26" i="50"/>
  <c r="B22" i="50"/>
  <c r="B18" i="50"/>
  <c r="B14" i="50"/>
  <c r="B10" i="50"/>
  <c r="E72" i="51"/>
  <c r="E71" i="51" s="1"/>
  <c r="E70" i="51" s="1"/>
  <c r="F72" i="51"/>
  <c r="F71" i="51" s="1"/>
  <c r="F70" i="51" s="1"/>
  <c r="G72" i="51"/>
  <c r="G68" i="51" s="1"/>
  <c r="G67" i="51" s="1"/>
  <c r="G66" i="51" s="1"/>
  <c r="H72" i="51"/>
  <c r="H71" i="51" s="1"/>
  <c r="H70" i="51" s="1"/>
  <c r="I72" i="51"/>
  <c r="J72" i="51"/>
  <c r="D72" i="51"/>
  <c r="D68" i="51" s="1"/>
  <c r="E64" i="51"/>
  <c r="E63" i="51" s="1"/>
  <c r="E62" i="51" s="1"/>
  <c r="F64" i="51"/>
  <c r="F63" i="51" s="1"/>
  <c r="F62" i="51" s="1"/>
  <c r="G64" i="51"/>
  <c r="G63" i="51" s="1"/>
  <c r="G62" i="51" s="1"/>
  <c r="H64" i="51"/>
  <c r="H63" i="51" s="1"/>
  <c r="H62" i="51" s="1"/>
  <c r="I64" i="51"/>
  <c r="I63" i="51" s="1"/>
  <c r="I62" i="51" s="1"/>
  <c r="J64" i="51"/>
  <c r="J63" i="51" s="1"/>
  <c r="J62" i="51" s="1"/>
  <c r="D64" i="51"/>
  <c r="D63" i="51" s="1"/>
  <c r="D62" i="51" s="1"/>
  <c r="E60" i="51"/>
  <c r="E59" i="51" s="1"/>
  <c r="E58" i="51" s="1"/>
  <c r="F60" i="51"/>
  <c r="F59" i="51" s="1"/>
  <c r="F58" i="51" s="1"/>
  <c r="G60" i="51"/>
  <c r="G59" i="51" s="1"/>
  <c r="G58" i="51" s="1"/>
  <c r="H60" i="51"/>
  <c r="H59" i="51" s="1"/>
  <c r="H58" i="51" s="1"/>
  <c r="I60" i="51"/>
  <c r="I59" i="51" s="1"/>
  <c r="I58" i="51" s="1"/>
  <c r="J60" i="51"/>
  <c r="J59" i="51" s="1"/>
  <c r="J58" i="51" s="1"/>
  <c r="D60" i="51"/>
  <c r="D59" i="51" s="1"/>
  <c r="D58" i="51" s="1"/>
  <c r="E53" i="51"/>
  <c r="E51" i="51" s="1"/>
  <c r="E50" i="51" s="1"/>
  <c r="F53" i="51"/>
  <c r="F51" i="51" s="1"/>
  <c r="F50" i="51" s="1"/>
  <c r="G53" i="51"/>
  <c r="G51" i="51" s="1"/>
  <c r="G50" i="51" s="1"/>
  <c r="H53" i="51"/>
  <c r="H51" i="51" s="1"/>
  <c r="H50" i="51" s="1"/>
  <c r="I53" i="51"/>
  <c r="I51" i="51" s="1"/>
  <c r="I50" i="51" s="1"/>
  <c r="J53" i="51"/>
  <c r="J51" i="51" s="1"/>
  <c r="J50" i="51" s="1"/>
  <c r="D53" i="51"/>
  <c r="D51" i="51" s="1"/>
  <c r="D50" i="51" s="1"/>
  <c r="E49" i="51"/>
  <c r="E47" i="51" s="1"/>
  <c r="E46" i="51" s="1"/>
  <c r="F49" i="51"/>
  <c r="F47" i="51" s="1"/>
  <c r="F46" i="51" s="1"/>
  <c r="G49" i="51"/>
  <c r="G47" i="51" s="1"/>
  <c r="G46" i="51" s="1"/>
  <c r="H49" i="51"/>
  <c r="H47" i="51" s="1"/>
  <c r="H46" i="51" s="1"/>
  <c r="I49" i="51"/>
  <c r="I47" i="51" s="1"/>
  <c r="I46" i="51" s="1"/>
  <c r="J49" i="51"/>
  <c r="J47" i="51" s="1"/>
  <c r="J46" i="51" s="1"/>
  <c r="D49" i="51"/>
  <c r="D47" i="51" s="1"/>
  <c r="D46" i="51" s="1"/>
  <c r="E45" i="51"/>
  <c r="E43" i="51" s="1"/>
  <c r="E42" i="51" s="1"/>
  <c r="F45" i="51"/>
  <c r="F43" i="51" s="1"/>
  <c r="F42" i="51" s="1"/>
  <c r="G45" i="51"/>
  <c r="G43" i="51" s="1"/>
  <c r="G42" i="51" s="1"/>
  <c r="H45" i="51"/>
  <c r="H43" i="51" s="1"/>
  <c r="H42" i="51" s="1"/>
  <c r="I45" i="51"/>
  <c r="I43" i="51" s="1"/>
  <c r="I42" i="51" s="1"/>
  <c r="J45" i="51"/>
  <c r="J43" i="51" s="1"/>
  <c r="J42" i="51" s="1"/>
  <c r="D45" i="51"/>
  <c r="D43" i="51" s="1"/>
  <c r="D42" i="51" s="1"/>
  <c r="E41" i="51"/>
  <c r="E39" i="51" s="1"/>
  <c r="E38" i="51" s="1"/>
  <c r="F41" i="51"/>
  <c r="F39" i="51" s="1"/>
  <c r="F38" i="51" s="1"/>
  <c r="G41" i="51"/>
  <c r="G39" i="51" s="1"/>
  <c r="G38" i="51" s="1"/>
  <c r="H41" i="51"/>
  <c r="H39" i="51" s="1"/>
  <c r="H38" i="51" s="1"/>
  <c r="I41" i="51"/>
  <c r="I39" i="51" s="1"/>
  <c r="I38" i="51" s="1"/>
  <c r="J41" i="51"/>
  <c r="J39" i="51" s="1"/>
  <c r="J38" i="51" s="1"/>
  <c r="D41" i="51"/>
  <c r="E24" i="51"/>
  <c r="E23" i="51" s="1"/>
  <c r="E22" i="51" s="1"/>
  <c r="F24" i="51"/>
  <c r="F23" i="51" s="1"/>
  <c r="F22" i="51" s="1"/>
  <c r="G24" i="51"/>
  <c r="G23" i="51" s="1"/>
  <c r="G22" i="51" s="1"/>
  <c r="H24" i="51"/>
  <c r="H23" i="51" s="1"/>
  <c r="H22" i="51" s="1"/>
  <c r="I24" i="51"/>
  <c r="I23" i="51" s="1"/>
  <c r="I22" i="51" s="1"/>
  <c r="J24" i="51"/>
  <c r="D24" i="51"/>
  <c r="D23" i="51" s="1"/>
  <c r="D22" i="51" s="1"/>
  <c r="E32" i="51"/>
  <c r="F32" i="51"/>
  <c r="G32" i="51"/>
  <c r="G31" i="51" s="1"/>
  <c r="G30" i="51" s="1"/>
  <c r="H32" i="51"/>
  <c r="H28" i="51" s="1"/>
  <c r="H27" i="51" s="1"/>
  <c r="H26" i="51" s="1"/>
  <c r="I32" i="51"/>
  <c r="J32" i="51"/>
  <c r="J28" i="51" s="1"/>
  <c r="J27" i="51" s="1"/>
  <c r="J26" i="51" s="1"/>
  <c r="D32" i="51"/>
  <c r="D31" i="51" s="1"/>
  <c r="D30" i="51" s="1"/>
  <c r="E20" i="51"/>
  <c r="E19" i="51" s="1"/>
  <c r="E18" i="51" s="1"/>
  <c r="F20" i="51"/>
  <c r="F19" i="51" s="1"/>
  <c r="F18" i="51" s="1"/>
  <c r="G20" i="51"/>
  <c r="G19" i="51" s="1"/>
  <c r="G18" i="51" s="1"/>
  <c r="H20" i="51"/>
  <c r="I20" i="51"/>
  <c r="I19" i="51" s="1"/>
  <c r="I18" i="51" s="1"/>
  <c r="J20" i="51"/>
  <c r="J19" i="51" s="1"/>
  <c r="J18" i="51" s="1"/>
  <c r="D20" i="51"/>
  <c r="D19" i="51" s="1"/>
  <c r="D18" i="51" s="1"/>
  <c r="G16" i="51"/>
  <c r="H16" i="51"/>
  <c r="H15" i="51" s="1"/>
  <c r="H14" i="51" s="1"/>
  <c r="I16" i="51"/>
  <c r="I15" i="51" s="1"/>
  <c r="I14" i="51" s="1"/>
  <c r="J16" i="51"/>
  <c r="J15" i="51" s="1"/>
  <c r="J14" i="51" s="1"/>
  <c r="E16" i="51"/>
  <c r="E15" i="51" s="1"/>
  <c r="E14" i="51" s="1"/>
  <c r="D14" i="51"/>
  <c r="D16" i="51"/>
  <c r="B70" i="51"/>
  <c r="B66" i="51"/>
  <c r="B62" i="51"/>
  <c r="B58" i="51"/>
  <c r="B54" i="51"/>
  <c r="B50" i="51"/>
  <c r="B46" i="51"/>
  <c r="B42" i="51"/>
  <c r="B38" i="51"/>
  <c r="B34" i="51"/>
  <c r="B22" i="51"/>
  <c r="B30" i="51"/>
  <c r="B26" i="51"/>
  <c r="B18" i="51"/>
  <c r="B14" i="51"/>
  <c r="B10" i="51"/>
  <c r="C8" i="70"/>
  <c r="D63" i="52"/>
  <c r="D62" i="52" s="1"/>
  <c r="G12" i="53"/>
  <c r="G11" i="53" s="1"/>
  <c r="G10" i="53" s="1"/>
  <c r="D39" i="51"/>
  <c r="D38" i="51" s="1"/>
  <c r="D56" i="59"/>
  <c r="D55" i="59" s="1"/>
  <c r="D54" i="59" s="1"/>
  <c r="F41" i="58"/>
  <c r="F40" i="58" s="1"/>
  <c r="F39" i="58" s="1"/>
  <c r="G47" i="44"/>
  <c r="H47" i="44"/>
  <c r="I47" i="44"/>
  <c r="K50" i="44"/>
  <c r="I68" i="52"/>
  <c r="I67" i="52" s="1"/>
  <c r="I66" i="52" s="1"/>
  <c r="G68" i="52"/>
  <c r="G60" i="52" s="1"/>
  <c r="E6" i="70"/>
  <c r="J68" i="52"/>
  <c r="H68" i="52"/>
  <c r="K152" i="44"/>
  <c r="K153" i="44"/>
  <c r="K154" i="44"/>
  <c r="K156" i="44"/>
  <c r="I12" i="70" s="1"/>
  <c r="K159" i="44"/>
  <c r="K162" i="44"/>
  <c r="K163" i="44"/>
  <c r="K164" i="44"/>
  <c r="K168" i="44"/>
  <c r="K171" i="44"/>
  <c r="K172" i="44"/>
  <c r="K176" i="44"/>
  <c r="K180" i="44"/>
  <c r="K185" i="44"/>
  <c r="E155" i="44"/>
  <c r="F155" i="44"/>
  <c r="G155" i="44"/>
  <c r="H155" i="44"/>
  <c r="I155" i="44"/>
  <c r="D155" i="44"/>
  <c r="K31" i="44"/>
  <c r="F151" i="44"/>
  <c r="F20" i="58"/>
  <c r="F19" i="58" s="1"/>
  <c r="F18" i="58" s="1"/>
  <c r="F64" i="52"/>
  <c r="F63" i="52" s="1"/>
  <c r="F62" i="52" s="1"/>
  <c r="F16" i="51"/>
  <c r="K151" i="44"/>
  <c r="F7" i="69"/>
  <c r="M7" i="69" s="1"/>
  <c r="F16" i="52"/>
  <c r="F15" i="52" s="1"/>
  <c r="F14" i="52" s="1"/>
  <c r="F47" i="44"/>
  <c r="K126" i="44"/>
  <c r="K43" i="44"/>
  <c r="I42" i="44"/>
  <c r="H42" i="44"/>
  <c r="G42" i="44"/>
  <c r="F42" i="44"/>
  <c r="E42" i="44"/>
  <c r="D42" i="44"/>
  <c r="K41" i="44"/>
  <c r="K40" i="44"/>
  <c r="I39" i="44"/>
  <c r="H39" i="44"/>
  <c r="G39" i="44"/>
  <c r="F39" i="44"/>
  <c r="E39" i="44"/>
  <c r="D39" i="44"/>
  <c r="E138" i="44"/>
  <c r="G138" i="44"/>
  <c r="H138" i="44"/>
  <c r="I138" i="44"/>
  <c r="D138" i="44"/>
  <c r="E128" i="44"/>
  <c r="F128" i="44"/>
  <c r="E123" i="44"/>
  <c r="F123" i="44"/>
  <c r="G123" i="44"/>
  <c r="H123" i="44"/>
  <c r="I123" i="44"/>
  <c r="D123" i="44"/>
  <c r="E117" i="44"/>
  <c r="F117" i="44"/>
  <c r="G117" i="44"/>
  <c r="H117" i="44"/>
  <c r="I117" i="44"/>
  <c r="D117" i="44"/>
  <c r="E100" i="44"/>
  <c r="F100" i="44"/>
  <c r="G100" i="44"/>
  <c r="H100" i="44"/>
  <c r="I100" i="44"/>
  <c r="D100" i="44"/>
  <c r="E82" i="44"/>
  <c r="F82" i="44"/>
  <c r="G82" i="44"/>
  <c r="H82" i="44"/>
  <c r="I82" i="44"/>
  <c r="D82" i="44"/>
  <c r="E75" i="44"/>
  <c r="F75" i="44"/>
  <c r="G75" i="44"/>
  <c r="H75" i="44"/>
  <c r="I75" i="44"/>
  <c r="D75" i="44"/>
  <c r="K69" i="44"/>
  <c r="E45" i="44"/>
  <c r="D45" i="44"/>
  <c r="E26" i="44"/>
  <c r="F26" i="44"/>
  <c r="G26" i="44"/>
  <c r="H26" i="44"/>
  <c r="I26" i="44"/>
  <c r="D26" i="44"/>
  <c r="E11" i="44"/>
  <c r="F11" i="44"/>
  <c r="G11" i="44"/>
  <c r="H11" i="44"/>
  <c r="I11" i="44"/>
  <c r="D11" i="44"/>
  <c r="K82" i="44"/>
  <c r="K117" i="44"/>
  <c r="K75" i="44"/>
  <c r="K100" i="44"/>
  <c r="D13" i="44"/>
  <c r="D10" i="44" s="1"/>
  <c r="K143" i="44"/>
  <c r="K142" i="44"/>
  <c r="K141" i="44"/>
  <c r="E140" i="44"/>
  <c r="E137" i="44" s="1"/>
  <c r="F140" i="44"/>
  <c r="G140" i="44"/>
  <c r="G137" i="44" s="1"/>
  <c r="G139" i="44" s="1"/>
  <c r="H140" i="44"/>
  <c r="H137" i="44" s="1"/>
  <c r="I140" i="44"/>
  <c r="I137" i="44" s="1"/>
  <c r="I139" i="44" s="1"/>
  <c r="D140" i="44"/>
  <c r="D137" i="44" s="1"/>
  <c r="K135" i="44"/>
  <c r="K136" i="44"/>
  <c r="E130" i="44"/>
  <c r="E127" i="44" s="1"/>
  <c r="F130" i="44"/>
  <c r="F127" i="44" s="1"/>
  <c r="E125" i="44"/>
  <c r="E122" i="44" s="1"/>
  <c r="F125" i="44"/>
  <c r="F122" i="44" s="1"/>
  <c r="G125" i="44"/>
  <c r="G122" i="44" s="1"/>
  <c r="H125" i="44"/>
  <c r="H122" i="44" s="1"/>
  <c r="I125" i="44"/>
  <c r="I122" i="44" s="1"/>
  <c r="D125" i="44"/>
  <c r="D122" i="44" s="1"/>
  <c r="K120" i="44"/>
  <c r="K110" i="44"/>
  <c r="K111" i="44"/>
  <c r="K112" i="44"/>
  <c r="K113" i="44"/>
  <c r="K115" i="44"/>
  <c r="K106" i="44"/>
  <c r="K107" i="44"/>
  <c r="K108" i="44"/>
  <c r="K103" i="44"/>
  <c r="E109" i="44"/>
  <c r="F109" i="44"/>
  <c r="G109" i="44"/>
  <c r="H109" i="44"/>
  <c r="I109" i="44"/>
  <c r="E114" i="44"/>
  <c r="F114" i="44"/>
  <c r="G114" i="44"/>
  <c r="H114" i="44"/>
  <c r="I114" i="44"/>
  <c r="D114" i="44"/>
  <c r="D109" i="44"/>
  <c r="E96" i="44"/>
  <c r="F96" i="44"/>
  <c r="C32" i="72" s="1"/>
  <c r="C15" i="72" s="1"/>
  <c r="G96" i="44"/>
  <c r="D32" i="72" s="1"/>
  <c r="D15" i="72" s="1"/>
  <c r="H96" i="44"/>
  <c r="E32" i="72" s="1"/>
  <c r="E15" i="72" s="1"/>
  <c r="I96" i="44"/>
  <c r="F32" i="72" s="1"/>
  <c r="F15" i="72" s="1"/>
  <c r="D96" i="44"/>
  <c r="E94" i="44"/>
  <c r="F94" i="44"/>
  <c r="G94" i="44"/>
  <c r="H94" i="44"/>
  <c r="I94" i="44"/>
  <c r="D94" i="44"/>
  <c r="E92" i="44"/>
  <c r="F92" i="44"/>
  <c r="G92" i="44"/>
  <c r="H92" i="44"/>
  <c r="I92" i="44"/>
  <c r="D92" i="44"/>
  <c r="E90" i="44"/>
  <c r="F90" i="44"/>
  <c r="G90" i="44"/>
  <c r="H90" i="44"/>
  <c r="I90" i="44"/>
  <c r="D90" i="44"/>
  <c r="E87" i="44"/>
  <c r="F87" i="44"/>
  <c r="G87" i="44"/>
  <c r="H87" i="44"/>
  <c r="I87" i="44"/>
  <c r="D87" i="44"/>
  <c r="E84" i="44"/>
  <c r="F84" i="44"/>
  <c r="G84" i="44"/>
  <c r="H84" i="44"/>
  <c r="I84" i="44"/>
  <c r="D84" i="44"/>
  <c r="K80" i="44"/>
  <c r="K79" i="44"/>
  <c r="K78" i="44"/>
  <c r="E77" i="44"/>
  <c r="E74" i="44" s="1"/>
  <c r="E76" i="44" s="1"/>
  <c r="F77" i="44"/>
  <c r="F74" i="44" s="1"/>
  <c r="F76" i="44" s="1"/>
  <c r="G77" i="44"/>
  <c r="G74" i="44" s="1"/>
  <c r="G76" i="44" s="1"/>
  <c r="H77" i="44"/>
  <c r="H74" i="44" s="1"/>
  <c r="H76" i="44" s="1"/>
  <c r="I77" i="44"/>
  <c r="I74" i="44" s="1"/>
  <c r="I76" i="44" s="1"/>
  <c r="D77" i="44"/>
  <c r="D74" i="44" s="1"/>
  <c r="K72" i="44"/>
  <c r="E71" i="44"/>
  <c r="E68" i="44" s="1"/>
  <c r="E70" i="44" s="1"/>
  <c r="F68" i="44"/>
  <c r="F70" i="44" s="1"/>
  <c r="G68" i="44"/>
  <c r="G70" i="44" s="1"/>
  <c r="H68" i="44"/>
  <c r="H70" i="44" s="1"/>
  <c r="I68" i="44"/>
  <c r="I70" i="44" s="1"/>
  <c r="D71" i="44"/>
  <c r="D68" i="44" s="1"/>
  <c r="E60" i="44"/>
  <c r="G60" i="44"/>
  <c r="H60" i="44"/>
  <c r="H44" i="44" s="1"/>
  <c r="I60" i="44"/>
  <c r="D60" i="44"/>
  <c r="D57" i="44"/>
  <c r="E34" i="44"/>
  <c r="D34" i="44"/>
  <c r="E150" i="44"/>
  <c r="F184" i="44"/>
  <c r="F183" i="44" s="1"/>
  <c r="F182" i="44" s="1"/>
  <c r="D26" i="70" s="1"/>
  <c r="G184" i="44"/>
  <c r="G183" i="44" s="1"/>
  <c r="G182" i="44" s="1"/>
  <c r="E26" i="70" s="1"/>
  <c r="H184" i="44"/>
  <c r="H183" i="44" s="1"/>
  <c r="H182" i="44" s="1"/>
  <c r="F26" i="70" s="1"/>
  <c r="I184" i="44"/>
  <c r="I183" i="44" s="1"/>
  <c r="I182" i="44" s="1"/>
  <c r="G26" i="70" s="1"/>
  <c r="H26" i="70"/>
  <c r="H48" i="70" s="1"/>
  <c r="E184" i="44"/>
  <c r="E183" i="44" s="1"/>
  <c r="E182" i="44" s="1"/>
  <c r="C26" i="70" s="1"/>
  <c r="C27" i="70" s="1"/>
  <c r="C29" i="70" s="1"/>
  <c r="D184" i="44"/>
  <c r="D183" i="44" s="1"/>
  <c r="E179" i="44"/>
  <c r="E178" i="44" s="1"/>
  <c r="E177" i="44" s="1"/>
  <c r="F179" i="44"/>
  <c r="F178" i="44" s="1"/>
  <c r="F177" i="44" s="1"/>
  <c r="D22" i="70" s="1"/>
  <c r="D23" i="70" s="1"/>
  <c r="D25" i="70" s="1"/>
  <c r="G179" i="44"/>
  <c r="G178" i="44" s="1"/>
  <c r="G177" i="44" s="1"/>
  <c r="E22" i="70" s="1"/>
  <c r="H179" i="44"/>
  <c r="H178" i="44" s="1"/>
  <c r="H177" i="44" s="1"/>
  <c r="F22" i="70" s="1"/>
  <c r="I179" i="44"/>
  <c r="I178" i="44" s="1"/>
  <c r="I177" i="44" s="1"/>
  <c r="G22" i="70" s="1"/>
  <c r="G23" i="70" s="1"/>
  <c r="G25" i="70" s="1"/>
  <c r="H22" i="70"/>
  <c r="D179" i="44"/>
  <c r="D178" i="44" s="1"/>
  <c r="D177" i="44" s="1"/>
  <c r="B22" i="70" s="1"/>
  <c r="B23" i="70" s="1"/>
  <c r="B25" i="70" s="1"/>
  <c r="H134" i="44"/>
  <c r="D134" i="44"/>
  <c r="D28" i="62"/>
  <c r="D27" i="62" s="1"/>
  <c r="D26" i="62" s="1"/>
  <c r="G133" i="44"/>
  <c r="G25" i="62" s="1"/>
  <c r="G23" i="62" s="1"/>
  <c r="G22" i="62" s="1"/>
  <c r="D133" i="44"/>
  <c r="D25" i="62"/>
  <c r="D23" i="62" s="1"/>
  <c r="D22" i="62" s="1"/>
  <c r="H132" i="44"/>
  <c r="H6" i="44" s="1"/>
  <c r="D132" i="44"/>
  <c r="D20" i="62"/>
  <c r="G131" i="44"/>
  <c r="G5" i="44" s="1"/>
  <c r="D131" i="44"/>
  <c r="D5" i="44"/>
  <c r="B5" i="70" s="1"/>
  <c r="E119" i="44"/>
  <c r="E116" i="44" s="1"/>
  <c r="E118" i="44" s="1"/>
  <c r="G116" i="44"/>
  <c r="G118" i="44" s="1"/>
  <c r="H116" i="44"/>
  <c r="H118" i="44" s="1"/>
  <c r="I116" i="44"/>
  <c r="I118" i="44" s="1"/>
  <c r="D119" i="44"/>
  <c r="D116" i="44" s="1"/>
  <c r="K29" i="44"/>
  <c r="K30" i="44"/>
  <c r="K33" i="44"/>
  <c r="K35" i="44"/>
  <c r="K36" i="44"/>
  <c r="K37" i="44"/>
  <c r="K38" i="44"/>
  <c r="F34" i="44"/>
  <c r="G34" i="44"/>
  <c r="H34" i="44"/>
  <c r="I34" i="44"/>
  <c r="E57" i="44"/>
  <c r="K61" i="44"/>
  <c r="K63" i="44"/>
  <c r="K64" i="44"/>
  <c r="K51" i="44"/>
  <c r="D48" i="44"/>
  <c r="E48" i="44"/>
  <c r="E206" i="44"/>
  <c r="K89" i="44"/>
  <c r="K88" i="44"/>
  <c r="K91" i="44"/>
  <c r="K93" i="44"/>
  <c r="K95" i="44"/>
  <c r="K97" i="44"/>
  <c r="K98" i="44"/>
  <c r="K85" i="44"/>
  <c r="K86" i="44"/>
  <c r="D104" i="44"/>
  <c r="D20" i="59"/>
  <c r="D19" i="59" s="1"/>
  <c r="D18" i="59" s="1"/>
  <c r="E104" i="44"/>
  <c r="E20" i="59"/>
  <c r="E19" i="59" s="1"/>
  <c r="E18" i="59" s="1"/>
  <c r="F116" i="44"/>
  <c r="F118" i="44" s="1"/>
  <c r="F150" i="44"/>
  <c r="F158" i="44"/>
  <c r="F157" i="44" s="1"/>
  <c r="F161" i="44"/>
  <c r="F160" i="44" s="1"/>
  <c r="G150" i="44"/>
  <c r="G158" i="44"/>
  <c r="G161" i="44"/>
  <c r="G160" i="44" s="1"/>
  <c r="H150" i="44"/>
  <c r="H158" i="44"/>
  <c r="H157" i="44" s="1"/>
  <c r="H161" i="44"/>
  <c r="H160" i="44" s="1"/>
  <c r="I150" i="44"/>
  <c r="I158" i="44"/>
  <c r="I157" i="44" s="1"/>
  <c r="I161" i="44"/>
  <c r="I160" i="44" s="1"/>
  <c r="F167" i="44"/>
  <c r="F166" i="44" s="1"/>
  <c r="F170" i="44"/>
  <c r="F169" i="44" s="1"/>
  <c r="C100" i="72" s="1"/>
  <c r="C114" i="72" s="1"/>
  <c r="G167" i="44"/>
  <c r="G166" i="44" s="1"/>
  <c r="G170" i="44"/>
  <c r="G169" i="44" s="1"/>
  <c r="D100" i="72" s="1"/>
  <c r="D114" i="72" s="1"/>
  <c r="H167" i="44"/>
  <c r="H170" i="44"/>
  <c r="H169" i="44" s="1"/>
  <c r="E100" i="72" s="1"/>
  <c r="E114" i="72" s="1"/>
  <c r="I167" i="44"/>
  <c r="I166" i="44" s="1"/>
  <c r="I170" i="44"/>
  <c r="I169" i="44" s="1"/>
  <c r="F100" i="72" s="1"/>
  <c r="F114" i="72" s="1"/>
  <c r="F175" i="44"/>
  <c r="G175" i="44"/>
  <c r="G174" i="44" s="1"/>
  <c r="G173" i="44" s="1"/>
  <c r="E18" i="70" s="1"/>
  <c r="H175" i="44"/>
  <c r="H174" i="44" s="1"/>
  <c r="H173" i="44" s="1"/>
  <c r="F18" i="70" s="1"/>
  <c r="I175" i="44"/>
  <c r="I174" i="44" s="1"/>
  <c r="I173" i="44" s="1"/>
  <c r="G18" i="70" s="1"/>
  <c r="H18" i="70"/>
  <c r="K16" i="44"/>
  <c r="K17" i="44"/>
  <c r="K18" i="44"/>
  <c r="K19" i="44"/>
  <c r="K20" i="44"/>
  <c r="K21" i="44"/>
  <c r="K22" i="44"/>
  <c r="K23" i="44"/>
  <c r="K24" i="44"/>
  <c r="K15" i="44"/>
  <c r="K14" i="44"/>
  <c r="E13" i="44"/>
  <c r="E10" i="44" s="1"/>
  <c r="F13" i="44"/>
  <c r="F10" i="44" s="1"/>
  <c r="G13" i="44"/>
  <c r="G10" i="44" s="1"/>
  <c r="H13" i="44"/>
  <c r="H10" i="44" s="1"/>
  <c r="I13" i="44"/>
  <c r="I10" i="44" s="1"/>
  <c r="D192" i="44"/>
  <c r="E190" i="44"/>
  <c r="E189" i="44"/>
  <c r="F188" i="44"/>
  <c r="G188" i="44"/>
  <c r="E36" i="70" s="1"/>
  <c r="H188" i="44"/>
  <c r="H187" i="44" s="1"/>
  <c r="I188" i="44"/>
  <c r="G36" i="70" s="1"/>
  <c r="J188" i="44"/>
  <c r="J187" i="44" s="1"/>
  <c r="D188" i="44"/>
  <c r="B36" i="70" s="1"/>
  <c r="D150" i="44"/>
  <c r="D158" i="44"/>
  <c r="D157" i="44" s="1"/>
  <c r="D161" i="44"/>
  <c r="D160" i="44" s="1"/>
  <c r="D167" i="44"/>
  <c r="D166" i="44" s="1"/>
  <c r="D170" i="44"/>
  <c r="D175" i="44"/>
  <c r="D174" i="44" s="1"/>
  <c r="E158" i="44"/>
  <c r="E157" i="44" s="1"/>
  <c r="E161" i="44"/>
  <c r="E160" i="44" s="1"/>
  <c r="E167" i="44"/>
  <c r="E166" i="44" s="1"/>
  <c r="E170" i="44"/>
  <c r="E169" i="44" s="1"/>
  <c r="E175" i="44"/>
  <c r="E174" i="44" s="1"/>
  <c r="E173" i="44" s="1"/>
  <c r="C18" i="70" s="1"/>
  <c r="D207" i="44"/>
  <c r="D208" i="44"/>
  <c r="E207" i="44"/>
  <c r="E208" i="44"/>
  <c r="G207" i="44"/>
  <c r="G208" i="44"/>
  <c r="H207" i="44"/>
  <c r="H208" i="44"/>
  <c r="I207" i="44"/>
  <c r="I208" i="44"/>
  <c r="J207" i="44"/>
  <c r="J208" i="44"/>
  <c r="F207" i="44"/>
  <c r="F208" i="44"/>
  <c r="H36" i="70"/>
  <c r="F36" i="70"/>
  <c r="D187" i="44"/>
  <c r="D6" i="44"/>
  <c r="B6" i="70" s="1"/>
  <c r="D206" i="44"/>
  <c r="F68" i="52"/>
  <c r="F67" i="52" s="1"/>
  <c r="F66" i="52" s="1"/>
  <c r="D6" i="70"/>
  <c r="E6" i="44"/>
  <c r="E16" i="52"/>
  <c r="E15" i="52" s="1"/>
  <c r="E14" i="52" s="1"/>
  <c r="E47" i="44"/>
  <c r="D16" i="52"/>
  <c r="D47" i="44"/>
  <c r="D128" i="44"/>
  <c r="D17" i="62"/>
  <c r="D15" i="62" s="1"/>
  <c r="D14" i="62" s="1"/>
  <c r="E188" i="44"/>
  <c r="E187" i="44" s="1"/>
  <c r="F60" i="44"/>
  <c r="K49" i="44"/>
  <c r="K62" i="44"/>
  <c r="F174" i="44"/>
  <c r="F173" i="44" s="1"/>
  <c r="D18" i="70" s="1"/>
  <c r="D46" i="70" s="1"/>
  <c r="K104" i="44"/>
  <c r="D102" i="44"/>
  <c r="K48" i="44"/>
  <c r="D130" i="44"/>
  <c r="D127" i="44" s="1"/>
  <c r="E102" i="44"/>
  <c r="C36" i="70"/>
  <c r="E240" i="71" l="1"/>
  <c r="E237" i="71" s="1"/>
  <c r="E431" i="71"/>
  <c r="E430" i="71"/>
  <c r="E427" i="71" s="1"/>
  <c r="F123" i="71"/>
  <c r="F124" i="71"/>
  <c r="L540" i="71"/>
  <c r="L539" i="71"/>
  <c r="L538" i="71" s="1"/>
  <c r="E447" i="71"/>
  <c r="E429" i="71"/>
  <c r="L248" i="71"/>
  <c r="L249" i="71"/>
  <c r="E126" i="71"/>
  <c r="F396" i="71"/>
  <c r="E348" i="71"/>
  <c r="E127" i="71"/>
  <c r="E183" i="71"/>
  <c r="E113" i="71"/>
  <c r="E549" i="71"/>
  <c r="E295" i="71"/>
  <c r="E370" i="71"/>
  <c r="E467" i="71"/>
  <c r="E464" i="71" s="1"/>
  <c r="E318" i="71"/>
  <c r="E254" i="71"/>
  <c r="F127" i="71"/>
  <c r="E449" i="71"/>
  <c r="E505" i="71"/>
  <c r="E241" i="71"/>
  <c r="E301" i="71"/>
  <c r="E292" i="71"/>
  <c r="E338" i="71"/>
  <c r="E335" i="71" s="1"/>
  <c r="G17" i="62"/>
  <c r="G15" i="62" s="1"/>
  <c r="G14" i="62" s="1"/>
  <c r="G187" i="44"/>
  <c r="D149" i="44"/>
  <c r="K57" i="44"/>
  <c r="I44" i="44"/>
  <c r="G44" i="44"/>
  <c r="F44" i="44"/>
  <c r="D8" i="70"/>
  <c r="F5" i="44"/>
  <c r="I149" i="44"/>
  <c r="E149" i="44"/>
  <c r="E129" i="44"/>
  <c r="F124" i="44"/>
  <c r="J37" i="51"/>
  <c r="J9" i="51" s="1"/>
  <c r="E81" i="44"/>
  <c r="E83" i="44" s="1"/>
  <c r="F64" i="72"/>
  <c r="F66" i="72" s="1"/>
  <c r="F58" i="72"/>
  <c r="D64" i="72"/>
  <c r="D66" i="72" s="1"/>
  <c r="D58" i="72"/>
  <c r="E64" i="72"/>
  <c r="E66" i="72" s="1"/>
  <c r="E58" i="72"/>
  <c r="H124" i="44"/>
  <c r="D139" i="44"/>
  <c r="H139" i="44"/>
  <c r="G67" i="52"/>
  <c r="G66" i="52" s="1"/>
  <c r="H57" i="58"/>
  <c r="H56" i="58" s="1"/>
  <c r="H55" i="58" s="1"/>
  <c r="F129" i="44"/>
  <c r="K119" i="44"/>
  <c r="H133" i="44"/>
  <c r="H25" i="62" s="1"/>
  <c r="H23" i="62" s="1"/>
  <c r="H22" i="62" s="1"/>
  <c r="I187" i="44"/>
  <c r="D36" i="70"/>
  <c r="F187" i="44"/>
  <c r="H149" i="44"/>
  <c r="H148" i="44" s="1"/>
  <c r="F10" i="70" s="1"/>
  <c r="F11" i="70" s="1"/>
  <c r="F13" i="70" s="1"/>
  <c r="J15" i="61"/>
  <c r="J14" i="61" s="1"/>
  <c r="F137" i="44"/>
  <c r="K137" i="44" s="1"/>
  <c r="L51" i="71"/>
  <c r="L11" i="71" s="1"/>
  <c r="L465" i="71"/>
  <c r="L462" i="71"/>
  <c r="L452" i="71"/>
  <c r="L446" i="71"/>
  <c r="L238" i="71"/>
  <c r="L181" i="71"/>
  <c r="L124" i="71"/>
  <c r="L348" i="71"/>
  <c r="E488" i="71"/>
  <c r="E546" i="71"/>
  <c r="L524" i="71"/>
  <c r="L493" i="71"/>
  <c r="L406" i="71"/>
  <c r="L363" i="71"/>
  <c r="L50" i="71"/>
  <c r="L490" i="71"/>
  <c r="L426" i="71"/>
  <c r="L422" i="71" s="1"/>
  <c r="L427" i="71"/>
  <c r="L423" i="71" s="1"/>
  <c r="L298" i="71"/>
  <c r="L336" i="71"/>
  <c r="L387" i="71"/>
  <c r="L396" i="71"/>
  <c r="L517" i="71"/>
  <c r="L516" i="71" s="1"/>
  <c r="L235" i="71"/>
  <c r="L521" i="71"/>
  <c r="L546" i="71"/>
  <c r="L19" i="71"/>
  <c r="L52" i="71"/>
  <c r="L106" i="71"/>
  <c r="L112" i="71"/>
  <c r="L321" i="71"/>
  <c r="L251" i="71"/>
  <c r="L385" i="71"/>
  <c r="L384" i="71" s="1"/>
  <c r="L292" i="71"/>
  <c r="L304" i="71"/>
  <c r="L310" i="71"/>
  <c r="F406" i="71"/>
  <c r="L487" i="71"/>
  <c r="L499" i="71"/>
  <c r="L488" i="71"/>
  <c r="L486" i="71" s="1"/>
  <c r="L485" i="71" s="1"/>
  <c r="L502" i="71"/>
  <c r="D5" i="70"/>
  <c r="D32" i="70" s="1"/>
  <c r="D34" i="70" s="1"/>
  <c r="E37" i="51"/>
  <c r="E9" i="51" s="1"/>
  <c r="L9" i="51" s="1"/>
  <c r="G49" i="58"/>
  <c r="G48" i="58" s="1"/>
  <c r="G47" i="58" s="1"/>
  <c r="F57" i="58"/>
  <c r="F56" i="58" s="1"/>
  <c r="F55" i="58" s="1"/>
  <c r="J12" i="53"/>
  <c r="J11" i="53" s="1"/>
  <c r="J10" i="53" s="1"/>
  <c r="I37" i="51"/>
  <c r="I35" i="51" s="1"/>
  <c r="I34" i="51" s="1"/>
  <c r="I56" i="59"/>
  <c r="I55" i="59" s="1"/>
  <c r="I54" i="59" s="1"/>
  <c r="I12" i="53"/>
  <c r="I11" i="53" s="1"/>
  <c r="I10" i="53" s="1"/>
  <c r="H41" i="70"/>
  <c r="F41" i="70"/>
  <c r="G37" i="51"/>
  <c r="G9" i="51" s="1"/>
  <c r="N9" i="51" s="1"/>
  <c r="H37" i="51"/>
  <c r="H35" i="51" s="1"/>
  <c r="H34" i="51" s="1"/>
  <c r="D37" i="51"/>
  <c r="D35" i="51" s="1"/>
  <c r="D34" i="51" s="1"/>
  <c r="E543" i="71"/>
  <c r="E539" i="71"/>
  <c r="E538" i="71" s="1"/>
  <c r="L543" i="71"/>
  <c r="L428" i="71"/>
  <c r="L367" i="71"/>
  <c r="L455" i="71"/>
  <c r="F37" i="51"/>
  <c r="F9" i="51" s="1"/>
  <c r="M9" i="51" s="1"/>
  <c r="E205" i="44"/>
  <c r="E49" i="58"/>
  <c r="E48" i="58" s="1"/>
  <c r="E47" i="58" s="1"/>
  <c r="D65" i="58"/>
  <c r="D64" i="58" s="1"/>
  <c r="D63" i="58" s="1"/>
  <c r="H41" i="58"/>
  <c r="H40" i="58" s="1"/>
  <c r="H39" i="58" s="1"/>
  <c r="J57" i="58"/>
  <c r="J56" i="58" s="1"/>
  <c r="J55" i="58" s="1"/>
  <c r="D9" i="61"/>
  <c r="K9" i="61" s="1"/>
  <c r="J36" i="59"/>
  <c r="J35" i="59" s="1"/>
  <c r="J34" i="59" s="1"/>
  <c r="H13" i="63"/>
  <c r="H8" i="63" s="1"/>
  <c r="H56" i="59"/>
  <c r="H55" i="59" s="1"/>
  <c r="H54" i="59" s="1"/>
  <c r="I24" i="58"/>
  <c r="I15" i="58" s="1"/>
  <c r="I14" i="58" s="1"/>
  <c r="I13" i="58" s="1"/>
  <c r="D29" i="58"/>
  <c r="D28" i="58" s="1"/>
  <c r="D27" i="58" s="1"/>
  <c r="G41" i="70"/>
  <c r="C41" i="70"/>
  <c r="K170" i="44"/>
  <c r="J12" i="60"/>
  <c r="J8" i="60" s="1"/>
  <c r="G13" i="61"/>
  <c r="G11" i="61" s="1"/>
  <c r="G10" i="61" s="1"/>
  <c r="D99" i="44"/>
  <c r="D101" i="44" s="1"/>
  <c r="G13" i="50"/>
  <c r="G9" i="50" s="1"/>
  <c r="N9" i="50" s="1"/>
  <c r="E99" i="44"/>
  <c r="E101" i="44" s="1"/>
  <c r="D129" i="44"/>
  <c r="K179" i="44"/>
  <c r="D169" i="44"/>
  <c r="D165" i="44" s="1"/>
  <c r="B14" i="70" s="1"/>
  <c r="H81" i="44"/>
  <c r="H83" i="44" s="1"/>
  <c r="K109" i="44"/>
  <c r="K140" i="44"/>
  <c r="J49" i="58"/>
  <c r="J48" i="58" s="1"/>
  <c r="J47" i="58" s="1"/>
  <c r="F12" i="60"/>
  <c r="F8" i="60" s="1"/>
  <c r="G15" i="63"/>
  <c r="G10" i="63" s="1"/>
  <c r="N10" i="63" s="1"/>
  <c r="E68" i="51"/>
  <c r="E67" i="51" s="1"/>
  <c r="E66" i="51" s="1"/>
  <c r="H55" i="52"/>
  <c r="H54" i="52" s="1"/>
  <c r="J56" i="59"/>
  <c r="J55" i="59" s="1"/>
  <c r="J54" i="59" s="1"/>
  <c r="E13" i="61"/>
  <c r="E11" i="61" s="1"/>
  <c r="E10" i="61" s="1"/>
  <c r="D36" i="59"/>
  <c r="D35" i="59" s="1"/>
  <c r="D34" i="59" s="1"/>
  <c r="D15" i="61"/>
  <c r="D14" i="61" s="1"/>
  <c r="K8" i="44"/>
  <c r="I8" i="70" s="1"/>
  <c r="B47" i="70"/>
  <c r="H27" i="70"/>
  <c r="H29" i="70" s="1"/>
  <c r="D205" i="44"/>
  <c r="G149" i="44"/>
  <c r="E139" i="44"/>
  <c r="E13" i="63"/>
  <c r="E8" i="63" s="1"/>
  <c r="F13" i="62"/>
  <c r="F9" i="62" s="1"/>
  <c r="M9" i="62" s="1"/>
  <c r="I11" i="64"/>
  <c r="I8" i="64" s="1"/>
  <c r="I7" i="64" s="1"/>
  <c r="I6" i="64" s="1"/>
  <c r="P6" i="64" s="1"/>
  <c r="K123" i="44"/>
  <c r="F15" i="61"/>
  <c r="F14" i="61" s="1"/>
  <c r="D60" i="58"/>
  <c r="D59" i="58" s="1"/>
  <c r="E12" i="53"/>
  <c r="E8" i="53" s="1"/>
  <c r="F60" i="52"/>
  <c r="E4" i="44"/>
  <c r="E3" i="44" s="1"/>
  <c r="C3" i="70" s="1"/>
  <c r="C43" i="70" s="1"/>
  <c r="F68" i="51"/>
  <c r="F67" i="51" s="1"/>
  <c r="F66" i="51" s="1"/>
  <c r="G28" i="51"/>
  <c r="G27" i="51" s="1"/>
  <c r="G26" i="51" s="1"/>
  <c r="K13" i="44"/>
  <c r="D201" i="44"/>
  <c r="F149" i="44"/>
  <c r="K161" i="44"/>
  <c r="F148" i="44"/>
  <c r="D10" i="70" s="1"/>
  <c r="D44" i="70" s="1"/>
  <c r="E17" i="71"/>
  <c r="K150" i="44"/>
  <c r="D27" i="70"/>
  <c r="D29" i="70" s="1"/>
  <c r="D48" i="70"/>
  <c r="F23" i="70"/>
  <c r="F25" i="70" s="1"/>
  <c r="F47" i="70"/>
  <c r="K177" i="44"/>
  <c r="I22" i="70" s="1"/>
  <c r="I23" i="70" s="1"/>
  <c r="I25" i="70" s="1"/>
  <c r="K169" i="44"/>
  <c r="F165" i="44"/>
  <c r="D14" i="70" s="1"/>
  <c r="D45" i="70" s="1"/>
  <c r="K90" i="44"/>
  <c r="F11" i="60"/>
  <c r="F10" i="60" s="1"/>
  <c r="G9" i="61"/>
  <c r="N9" i="61" s="1"/>
  <c r="F28" i="51"/>
  <c r="F27" i="51" s="1"/>
  <c r="F26" i="51" s="1"/>
  <c r="F31" i="51"/>
  <c r="F30" i="51" s="1"/>
  <c r="I71" i="51"/>
  <c r="I70" i="51" s="1"/>
  <c r="I68" i="51"/>
  <c r="I67" i="51" s="1"/>
  <c r="I66" i="51" s="1"/>
  <c r="H39" i="52"/>
  <c r="H38" i="52" s="1"/>
  <c r="H13" i="52"/>
  <c r="F15" i="53"/>
  <c r="F14" i="53" s="1"/>
  <c r="F12" i="53"/>
  <c r="F11" i="53" s="1"/>
  <c r="F10" i="53" s="1"/>
  <c r="G15" i="54"/>
  <c r="G14" i="54" s="1"/>
  <c r="G12" i="54"/>
  <c r="G8" i="54" s="1"/>
  <c r="I44" i="58"/>
  <c r="I43" i="58" s="1"/>
  <c r="I41" i="58"/>
  <c r="I40" i="58" s="1"/>
  <c r="I39" i="58" s="1"/>
  <c r="F52" i="58"/>
  <c r="F51" i="58" s="1"/>
  <c r="F49" i="58"/>
  <c r="F48" i="58" s="1"/>
  <c r="F47" i="58" s="1"/>
  <c r="E60" i="58"/>
  <c r="E59" i="58" s="1"/>
  <c r="E57" i="58"/>
  <c r="E56" i="58" s="1"/>
  <c r="E55" i="58" s="1"/>
  <c r="G56" i="59"/>
  <c r="G55" i="59" s="1"/>
  <c r="G54" i="59" s="1"/>
  <c r="G59" i="59"/>
  <c r="G58" i="59" s="1"/>
  <c r="D12" i="60"/>
  <c r="D15" i="60"/>
  <c r="D14" i="60" s="1"/>
  <c r="I15" i="60"/>
  <c r="I14" i="60" s="1"/>
  <c r="I12" i="60"/>
  <c r="I11" i="60" s="1"/>
  <c r="I10" i="60" s="1"/>
  <c r="D16" i="64"/>
  <c r="D15" i="64" s="1"/>
  <c r="D11" i="64"/>
  <c r="D8" i="64" s="1"/>
  <c r="D7" i="64" s="1"/>
  <c r="D6" i="64" s="1"/>
  <c r="K6" i="64" s="1"/>
  <c r="E323" i="71"/>
  <c r="E249" i="71" s="1"/>
  <c r="E324" i="71"/>
  <c r="D13" i="62"/>
  <c r="D9" i="62" s="1"/>
  <c r="K9" i="62" s="1"/>
  <c r="D12" i="44"/>
  <c r="K178" i="44"/>
  <c r="K184" i="44"/>
  <c r="C48" i="70"/>
  <c r="E165" i="44"/>
  <c r="C14" i="70" s="1"/>
  <c r="C15" i="70" s="1"/>
  <c r="C17" i="70" s="1"/>
  <c r="B32" i="70"/>
  <c r="B34" i="70" s="1"/>
  <c r="G201" i="44"/>
  <c r="E148" i="44"/>
  <c r="C10" i="70" s="1"/>
  <c r="H99" i="44"/>
  <c r="H101" i="44" s="1"/>
  <c r="F99" i="44"/>
  <c r="F101" i="44" s="1"/>
  <c r="K114" i="44"/>
  <c r="K122" i="44"/>
  <c r="J56" i="51"/>
  <c r="J55" i="51" s="1"/>
  <c r="J54" i="51" s="1"/>
  <c r="E56" i="51"/>
  <c r="E55" i="51" s="1"/>
  <c r="E54" i="51" s="1"/>
  <c r="H65" i="58"/>
  <c r="H64" i="58" s="1"/>
  <c r="H63" i="58" s="1"/>
  <c r="E36" i="59"/>
  <c r="E35" i="59" s="1"/>
  <c r="E34" i="59" s="1"/>
  <c r="E59" i="59"/>
  <c r="E58" i="59" s="1"/>
  <c r="G61" i="52"/>
  <c r="G59" i="52" s="1"/>
  <c r="G58" i="52" s="1"/>
  <c r="F11" i="64"/>
  <c r="H31" i="51"/>
  <c r="H30" i="51" s="1"/>
  <c r="D39" i="50"/>
  <c r="D38" i="50" s="1"/>
  <c r="D13" i="50"/>
  <c r="D9" i="50" s="1"/>
  <c r="K9" i="50" s="1"/>
  <c r="E19" i="62"/>
  <c r="E18" i="62" s="1"/>
  <c r="E12" i="62"/>
  <c r="E8" i="62" s="1"/>
  <c r="L8" i="62" s="1"/>
  <c r="J21" i="63"/>
  <c r="J20" i="63" s="1"/>
  <c r="J13" i="63"/>
  <c r="J8" i="63" s="1"/>
  <c r="Q8" i="63" s="1"/>
  <c r="D15" i="63"/>
  <c r="D10" i="63" s="1"/>
  <c r="K10" i="63" s="1"/>
  <c r="D25" i="63"/>
  <c r="D24" i="63" s="1"/>
  <c r="I25" i="63"/>
  <c r="I24" i="63" s="1"/>
  <c r="I15" i="63"/>
  <c r="I10" i="63" s="1"/>
  <c r="P10" i="63" s="1"/>
  <c r="E25" i="63"/>
  <c r="E24" i="63" s="1"/>
  <c r="E15" i="63"/>
  <c r="E10" i="63" s="1"/>
  <c r="L10" i="63" s="1"/>
  <c r="E41" i="70"/>
  <c r="E305" i="71"/>
  <c r="E304" i="71" s="1"/>
  <c r="E307" i="71"/>
  <c r="K39" i="44"/>
  <c r="K155" i="44"/>
  <c r="J60" i="52"/>
  <c r="D12" i="51"/>
  <c r="D11" i="51" s="1"/>
  <c r="D10" i="51" s="1"/>
  <c r="I12" i="51"/>
  <c r="I11" i="51" s="1"/>
  <c r="I10" i="51" s="1"/>
  <c r="B41" i="70"/>
  <c r="F205" i="44"/>
  <c r="K28" i="44"/>
  <c r="E437" i="71"/>
  <c r="K32" i="44"/>
  <c r="K77" i="44"/>
  <c r="F25" i="44"/>
  <c r="F27" i="44" s="1"/>
  <c r="K92" i="44"/>
  <c r="G8" i="53"/>
  <c r="G7" i="53" s="1"/>
  <c r="G6" i="53" s="1"/>
  <c r="N6" i="53" s="1"/>
  <c r="I46" i="44"/>
  <c r="F56" i="51"/>
  <c r="F55" i="51" s="1"/>
  <c r="F54" i="51" s="1"/>
  <c r="D56" i="51"/>
  <c r="D55" i="51" s="1"/>
  <c r="D54" i="51" s="1"/>
  <c r="E13" i="50"/>
  <c r="E9" i="50" s="1"/>
  <c r="L9" i="50" s="1"/>
  <c r="I13" i="50"/>
  <c r="I9" i="50" s="1"/>
  <c r="P9" i="50" s="1"/>
  <c r="I57" i="58"/>
  <c r="I56" i="58" s="1"/>
  <c r="I55" i="58" s="1"/>
  <c r="I49" i="58"/>
  <c r="I48" i="58" s="1"/>
  <c r="I47" i="58" s="1"/>
  <c r="I29" i="58"/>
  <c r="I28" i="58" s="1"/>
  <c r="I27" i="58" s="1"/>
  <c r="H29" i="58"/>
  <c r="H28" i="58" s="1"/>
  <c r="H27" i="58" s="1"/>
  <c r="H49" i="58"/>
  <c r="H48" i="58" s="1"/>
  <c r="H47" i="58" s="1"/>
  <c r="D61" i="52"/>
  <c r="G71" i="51"/>
  <c r="G70" i="51" s="1"/>
  <c r="H15" i="53"/>
  <c r="H14" i="53" s="1"/>
  <c r="G53" i="52"/>
  <c r="G51" i="52" s="1"/>
  <c r="G50" i="52" s="1"/>
  <c r="I53" i="52"/>
  <c r="I51" i="52" s="1"/>
  <c r="I50" i="52" s="1"/>
  <c r="D71" i="51"/>
  <c r="D70" i="51" s="1"/>
  <c r="D55" i="52"/>
  <c r="D54" i="52" s="1"/>
  <c r="J31" i="51"/>
  <c r="J30" i="51" s="1"/>
  <c r="G15" i="58"/>
  <c r="G14" i="58" s="1"/>
  <c r="G13" i="58" s="1"/>
  <c r="E55" i="71"/>
  <c r="C46" i="70"/>
  <c r="C19" i="70"/>
  <c r="C21" i="70" s="1"/>
  <c r="F9" i="61"/>
  <c r="M9" i="61" s="1"/>
  <c r="F11" i="61"/>
  <c r="F10" i="61" s="1"/>
  <c r="D148" i="44"/>
  <c r="B10" i="70" s="1"/>
  <c r="K160" i="44"/>
  <c r="E46" i="70"/>
  <c r="E19" i="70"/>
  <c r="E21" i="70" s="1"/>
  <c r="H14" i="70"/>
  <c r="H45" i="70" s="1"/>
  <c r="G165" i="44"/>
  <c r="E14" i="70" s="1"/>
  <c r="H10" i="70"/>
  <c r="H44" i="70" s="1"/>
  <c r="I148" i="44"/>
  <c r="G10" i="70" s="1"/>
  <c r="G44" i="70" s="1"/>
  <c r="K138" i="44"/>
  <c r="F59" i="59"/>
  <c r="F58" i="59" s="1"/>
  <c r="F56" i="59"/>
  <c r="F55" i="59" s="1"/>
  <c r="F54" i="59" s="1"/>
  <c r="H15" i="60"/>
  <c r="H14" i="60" s="1"/>
  <c r="H12" i="60"/>
  <c r="E15" i="60"/>
  <c r="E14" i="60" s="1"/>
  <c r="E12" i="60"/>
  <c r="F19" i="62"/>
  <c r="F18" i="62" s="1"/>
  <c r="F12" i="62"/>
  <c r="F17" i="63"/>
  <c r="F16" i="63" s="1"/>
  <c r="F13" i="63"/>
  <c r="F8" i="63" s="1"/>
  <c r="D21" i="63"/>
  <c r="D20" i="63" s="1"/>
  <c r="D13" i="63"/>
  <c r="G21" i="63"/>
  <c r="G20" i="63" s="1"/>
  <c r="G13" i="63"/>
  <c r="F25" i="63"/>
  <c r="F24" i="63" s="1"/>
  <c r="F15" i="63"/>
  <c r="F10" i="63" s="1"/>
  <c r="M10" i="63" s="1"/>
  <c r="J16" i="64"/>
  <c r="J15" i="64" s="1"/>
  <c r="J11" i="64"/>
  <c r="H13" i="64"/>
  <c r="H12" i="64" s="1"/>
  <c r="H11" i="64"/>
  <c r="E13" i="64"/>
  <c r="E12" i="64" s="1"/>
  <c r="E11" i="64"/>
  <c r="G13" i="62"/>
  <c r="G9" i="62" s="1"/>
  <c r="H131" i="44"/>
  <c r="G130" i="44"/>
  <c r="G127" i="44" s="1"/>
  <c r="K175" i="44"/>
  <c r="G128" i="44"/>
  <c r="G47" i="70"/>
  <c r="D47" i="70"/>
  <c r="I165" i="44"/>
  <c r="G14" i="70" s="1"/>
  <c r="J9" i="61"/>
  <c r="Q9" i="61" s="1"/>
  <c r="E13" i="62"/>
  <c r="E9" i="62" s="1"/>
  <c r="I13" i="63"/>
  <c r="H15" i="63"/>
  <c r="H10" i="63" s="1"/>
  <c r="O10" i="63" s="1"/>
  <c r="H15" i="61"/>
  <c r="H14" i="61" s="1"/>
  <c r="J15" i="63"/>
  <c r="J10" i="63" s="1"/>
  <c r="J19" i="59"/>
  <c r="J18" i="59" s="1"/>
  <c r="J12" i="59"/>
  <c r="J11" i="59" s="1"/>
  <c r="J10" i="59" s="1"/>
  <c r="G19" i="62"/>
  <c r="G18" i="62" s="1"/>
  <c r="G12" i="62"/>
  <c r="G8" i="62" s="1"/>
  <c r="I99" i="44"/>
  <c r="I101" i="44" s="1"/>
  <c r="D124" i="44"/>
  <c r="I124" i="44"/>
  <c r="G124" i="44"/>
  <c r="E124" i="44"/>
  <c r="G205" i="44"/>
  <c r="E364" i="71"/>
  <c r="E363" i="71" s="1"/>
  <c r="E367" i="71"/>
  <c r="E456" i="71"/>
  <c r="E453" i="71" s="1"/>
  <c r="E452" i="71" s="1"/>
  <c r="E458" i="71"/>
  <c r="E525" i="71"/>
  <c r="E524" i="71" s="1"/>
  <c r="E527" i="71"/>
  <c r="E41" i="58"/>
  <c r="E40" i="58" s="1"/>
  <c r="E39" i="58" s="1"/>
  <c r="J41" i="58"/>
  <c r="J40" i="58" s="1"/>
  <c r="J39" i="58" s="1"/>
  <c r="I81" i="44"/>
  <c r="I83" i="44" s="1"/>
  <c r="H8" i="53"/>
  <c r="H7" i="53" s="1"/>
  <c r="H6" i="53" s="1"/>
  <c r="O6" i="53" s="1"/>
  <c r="H11" i="53"/>
  <c r="H10" i="53" s="1"/>
  <c r="G46" i="44"/>
  <c r="D44" i="44"/>
  <c r="D46" i="44" s="1"/>
  <c r="K71" i="44"/>
  <c r="K45" i="44"/>
  <c r="F46" i="44"/>
  <c r="J67" i="52"/>
  <c r="J66" i="52" s="1"/>
  <c r="H46" i="44"/>
  <c r="J12" i="54"/>
  <c r="J11" i="54" s="1"/>
  <c r="J10" i="54" s="1"/>
  <c r="E60" i="52"/>
  <c r="E53" i="52"/>
  <c r="E51" i="52" s="1"/>
  <c r="E50" i="52" s="1"/>
  <c r="D60" i="52"/>
  <c r="D25" i="44"/>
  <c r="D27" i="44" s="1"/>
  <c r="G25" i="44"/>
  <c r="G27" i="44" s="1"/>
  <c r="D28" i="51"/>
  <c r="D27" i="51" s="1"/>
  <c r="D26" i="51" s="1"/>
  <c r="J205" i="44"/>
  <c r="H205" i="44"/>
  <c r="I25" i="44"/>
  <c r="I27" i="44" s="1"/>
  <c r="H12" i="44"/>
  <c r="E12" i="50"/>
  <c r="E8" i="50" s="1"/>
  <c r="C58" i="72"/>
  <c r="C64" i="72"/>
  <c r="C66" i="72" s="1"/>
  <c r="C115" i="72" s="1"/>
  <c r="C116" i="72" s="1"/>
  <c r="K96" i="44"/>
  <c r="K94" i="44"/>
  <c r="E184" i="71"/>
  <c r="E298" i="71"/>
  <c r="E502" i="71"/>
  <c r="K144" i="44"/>
  <c r="F9" i="44"/>
  <c r="K145" i="44"/>
  <c r="G99" i="44"/>
  <c r="G101" i="44" s="1"/>
  <c r="D81" i="44"/>
  <c r="D83" i="44" s="1"/>
  <c r="G81" i="44"/>
  <c r="G83" i="44" s="1"/>
  <c r="G65" i="58"/>
  <c r="G64" i="58" s="1"/>
  <c r="G63" i="58" s="1"/>
  <c r="K87" i="44"/>
  <c r="I205" i="44"/>
  <c r="E29" i="58"/>
  <c r="E28" i="58" s="1"/>
  <c r="E27" i="58" s="1"/>
  <c r="F29" i="58"/>
  <c r="F28" i="58" s="1"/>
  <c r="F27" i="58" s="1"/>
  <c r="J29" i="58"/>
  <c r="J28" i="58" s="1"/>
  <c r="J27" i="58" s="1"/>
  <c r="D32" i="58"/>
  <c r="D31" i="58" s="1"/>
  <c r="D13" i="52"/>
  <c r="I13" i="52"/>
  <c r="D4" i="44"/>
  <c r="B4" i="70" s="1"/>
  <c r="K42" i="44"/>
  <c r="H56" i="51"/>
  <c r="H55" i="51" s="1"/>
  <c r="H54" i="51" s="1"/>
  <c r="G56" i="51"/>
  <c r="G55" i="51" s="1"/>
  <c r="G54" i="51" s="1"/>
  <c r="K34" i="44"/>
  <c r="K26" i="44"/>
  <c r="H25" i="44"/>
  <c r="H27" i="44" s="1"/>
  <c r="F12" i="44"/>
  <c r="K11" i="44"/>
  <c r="I12" i="44"/>
  <c r="G12" i="44"/>
  <c r="E12" i="44"/>
  <c r="E44" i="44"/>
  <c r="E46" i="44" s="1"/>
  <c r="K47" i="44"/>
  <c r="D118" i="44"/>
  <c r="K118" i="44" s="1"/>
  <c r="K116" i="44"/>
  <c r="D70" i="44"/>
  <c r="K68" i="44"/>
  <c r="J22" i="58"/>
  <c r="J24" i="58"/>
  <c r="J15" i="58" s="1"/>
  <c r="J14" i="58" s="1"/>
  <c r="J13" i="58" s="1"/>
  <c r="H22" i="58"/>
  <c r="H24" i="58"/>
  <c r="H15" i="58" s="1"/>
  <c r="H14" i="58" s="1"/>
  <c r="H13" i="58" s="1"/>
  <c r="E12" i="52"/>
  <c r="K125" i="44"/>
  <c r="K84" i="44"/>
  <c r="K60" i="44"/>
  <c r="E25" i="44"/>
  <c r="E27" i="44" s="1"/>
  <c r="K10" i="44"/>
  <c r="F81" i="44"/>
  <c r="F83" i="44" s="1"/>
  <c r="C5" i="70"/>
  <c r="C32" i="70" s="1"/>
  <c r="C34" i="70" s="1"/>
  <c r="I56" i="51"/>
  <c r="I55" i="51" s="1"/>
  <c r="I54" i="51" s="1"/>
  <c r="H12" i="50"/>
  <c r="H8" i="50" s="1"/>
  <c r="G36" i="59"/>
  <c r="G35" i="59" s="1"/>
  <c r="G34" i="59" s="1"/>
  <c r="I36" i="59"/>
  <c r="I35" i="59" s="1"/>
  <c r="I34" i="59" s="1"/>
  <c r="F36" i="59"/>
  <c r="F35" i="59" s="1"/>
  <c r="F34" i="59" s="1"/>
  <c r="H12" i="54"/>
  <c r="H36" i="59"/>
  <c r="H35" i="59" s="1"/>
  <c r="H34" i="59" s="1"/>
  <c r="G13" i="52"/>
  <c r="E13" i="52"/>
  <c r="D12" i="53"/>
  <c r="E12" i="51"/>
  <c r="E11" i="51" s="1"/>
  <c r="E10" i="51" s="1"/>
  <c r="D12" i="50"/>
  <c r="D8" i="50" s="1"/>
  <c r="C6" i="70"/>
  <c r="D12" i="59"/>
  <c r="H12" i="59"/>
  <c r="G12" i="59"/>
  <c r="D76" i="44"/>
  <c r="K76" i="44" s="1"/>
  <c r="K74" i="44"/>
  <c r="D67" i="51"/>
  <c r="D66" i="51" s="1"/>
  <c r="D51" i="52"/>
  <c r="D50" i="52" s="1"/>
  <c r="Q9" i="51"/>
  <c r="F19" i="70"/>
  <c r="F21" i="70" s="1"/>
  <c r="F46" i="70"/>
  <c r="H19" i="70"/>
  <c r="H21" i="70" s="1"/>
  <c r="H46" i="70"/>
  <c r="C45" i="70"/>
  <c r="D15" i="52"/>
  <c r="D14" i="52" s="1"/>
  <c r="D12" i="52"/>
  <c r="G19" i="70"/>
  <c r="G21" i="70" s="1"/>
  <c r="G46" i="70"/>
  <c r="H166" i="44"/>
  <c r="K167" i="44"/>
  <c r="H28" i="62"/>
  <c r="H27" i="62" s="1"/>
  <c r="H26" i="62" s="1"/>
  <c r="I134" i="44"/>
  <c r="J134" i="44" s="1"/>
  <c r="E23" i="70"/>
  <c r="E25" i="70" s="1"/>
  <c r="E47" i="70"/>
  <c r="E27" i="70"/>
  <c r="E29" i="70" s="1"/>
  <c r="E48" i="70"/>
  <c r="G27" i="70"/>
  <c r="G29" i="70" s="1"/>
  <c r="G48" i="70"/>
  <c r="F27" i="70"/>
  <c r="F29" i="70" s="1"/>
  <c r="F48" i="70"/>
  <c r="F12" i="51"/>
  <c r="F15" i="51"/>
  <c r="F14" i="51" s="1"/>
  <c r="H60" i="52"/>
  <c r="H67" i="52"/>
  <c r="H66" i="52" s="1"/>
  <c r="J23" i="51"/>
  <c r="J22" i="51" s="1"/>
  <c r="J12" i="51"/>
  <c r="G19" i="50"/>
  <c r="G18" i="50" s="1"/>
  <c r="G12" i="50"/>
  <c r="J23" i="50"/>
  <c r="J22" i="50" s="1"/>
  <c r="J12" i="50"/>
  <c r="F23" i="50"/>
  <c r="F22" i="50" s="1"/>
  <c r="F12" i="50"/>
  <c r="J39" i="50"/>
  <c r="J38" i="50" s="1"/>
  <c r="J13" i="50"/>
  <c r="J9" i="50" s="1"/>
  <c r="Q9" i="50" s="1"/>
  <c r="F39" i="50"/>
  <c r="F38" i="50" s="1"/>
  <c r="F13" i="50"/>
  <c r="F9" i="50" s="1"/>
  <c r="M9" i="50" s="1"/>
  <c r="H15" i="52"/>
  <c r="H14" i="52" s="1"/>
  <c r="H12" i="52"/>
  <c r="I63" i="52"/>
  <c r="I62" i="52" s="1"/>
  <c r="I60" i="52"/>
  <c r="F19" i="54"/>
  <c r="F18" i="54" s="1"/>
  <c r="F12" i="54"/>
  <c r="D24" i="58"/>
  <c r="D15" i="58" s="1"/>
  <c r="D22" i="58"/>
  <c r="E22" i="58"/>
  <c r="E24" i="58"/>
  <c r="E15" i="58" s="1"/>
  <c r="G44" i="58"/>
  <c r="G43" i="58" s="1"/>
  <c r="G41" i="58"/>
  <c r="G40" i="58" s="1"/>
  <c r="G39" i="58" s="1"/>
  <c r="D49" i="58"/>
  <c r="D48" i="58" s="1"/>
  <c r="D47" i="58" s="1"/>
  <c r="D52" i="58"/>
  <c r="D51" i="58" s="1"/>
  <c r="G60" i="58"/>
  <c r="G59" i="58" s="1"/>
  <c r="G57" i="58"/>
  <c r="G56" i="58" s="1"/>
  <c r="G55" i="58" s="1"/>
  <c r="J68" i="58"/>
  <c r="J67" i="58" s="1"/>
  <c r="J65" i="58"/>
  <c r="J64" i="58" s="1"/>
  <c r="J63" i="58" s="1"/>
  <c r="F68" i="58"/>
  <c r="F67" i="58" s="1"/>
  <c r="F65" i="58"/>
  <c r="F64" i="58" s="1"/>
  <c r="F63" i="58" s="1"/>
  <c r="F23" i="59"/>
  <c r="F22" i="59" s="1"/>
  <c r="F12" i="59"/>
  <c r="F11" i="59" s="1"/>
  <c r="F10" i="59" s="1"/>
  <c r="E27" i="59"/>
  <c r="E26" i="59" s="1"/>
  <c r="E12" i="59"/>
  <c r="G15" i="60"/>
  <c r="G14" i="60" s="1"/>
  <c r="G12" i="60"/>
  <c r="I15" i="61"/>
  <c r="I14" i="61" s="1"/>
  <c r="I13" i="61"/>
  <c r="C22" i="70"/>
  <c r="D19" i="70"/>
  <c r="D21" i="70" s="1"/>
  <c r="K183" i="44"/>
  <c r="D182" i="44"/>
  <c r="F6" i="70"/>
  <c r="D173" i="44"/>
  <c r="K174" i="44"/>
  <c r="G157" i="44"/>
  <c r="K158" i="44"/>
  <c r="D19" i="62"/>
  <c r="D18" i="62" s="1"/>
  <c r="D12" i="62"/>
  <c r="H20" i="62"/>
  <c r="I132" i="44"/>
  <c r="I6" i="44" s="1"/>
  <c r="H23" i="70"/>
  <c r="H25" i="70" s="1"/>
  <c r="H47" i="70"/>
  <c r="H68" i="51"/>
  <c r="H67" i="51" s="1"/>
  <c r="H66" i="51" s="1"/>
  <c r="I12" i="50"/>
  <c r="D44" i="58"/>
  <c r="D43" i="58" s="1"/>
  <c r="G29" i="58"/>
  <c r="G28" i="58" s="1"/>
  <c r="G27" i="58" s="1"/>
  <c r="E65" i="58"/>
  <c r="E64" i="58" s="1"/>
  <c r="E63" i="58" s="1"/>
  <c r="I65" i="58"/>
  <c r="I64" i="58" s="1"/>
  <c r="I63" i="58" s="1"/>
  <c r="H11" i="61"/>
  <c r="H10" i="61" s="1"/>
  <c r="H9" i="61"/>
  <c r="I12" i="59"/>
  <c r="J12" i="52"/>
  <c r="E61" i="52"/>
  <c r="H61" i="52"/>
  <c r="I12" i="52"/>
  <c r="F8" i="53"/>
  <c r="G12" i="52"/>
  <c r="I31" i="51"/>
  <c r="I30" i="51" s="1"/>
  <c r="I28" i="51"/>
  <c r="E31" i="51"/>
  <c r="E30" i="51" s="1"/>
  <c r="E28" i="51"/>
  <c r="J71" i="51"/>
  <c r="J70" i="51" s="1"/>
  <c r="J68" i="51"/>
  <c r="J67" i="51" s="1"/>
  <c r="J66" i="51" s="1"/>
  <c r="H39" i="50"/>
  <c r="H38" i="50" s="1"/>
  <c r="H13" i="50"/>
  <c r="H9" i="50" s="1"/>
  <c r="O9" i="50" s="1"/>
  <c r="F23" i="52"/>
  <c r="F22" i="52" s="1"/>
  <c r="F12" i="52"/>
  <c r="J39" i="52"/>
  <c r="J38" i="52" s="1"/>
  <c r="J13" i="52"/>
  <c r="F39" i="52"/>
  <c r="F38" i="52" s="1"/>
  <c r="F13" i="52"/>
  <c r="J55" i="52"/>
  <c r="J54" i="52" s="1"/>
  <c r="J53" i="52"/>
  <c r="J51" i="52" s="1"/>
  <c r="J50" i="52" s="1"/>
  <c r="F55" i="52"/>
  <c r="F54" i="52" s="1"/>
  <c r="F53" i="52"/>
  <c r="F51" i="52" s="1"/>
  <c r="F50" i="52" s="1"/>
  <c r="I71" i="52"/>
  <c r="I70" i="52" s="1"/>
  <c r="I61" i="52"/>
  <c r="J75" i="52"/>
  <c r="J74" i="52" s="1"/>
  <c r="J61" i="52"/>
  <c r="F75" i="52"/>
  <c r="F74" i="52" s="1"/>
  <c r="F61" i="52"/>
  <c r="I15" i="54"/>
  <c r="I14" i="54" s="1"/>
  <c r="I12" i="54"/>
  <c r="E15" i="54"/>
  <c r="E14" i="54" s="1"/>
  <c r="E12" i="54"/>
  <c r="G15" i="51"/>
  <c r="G14" i="51" s="1"/>
  <c r="G12" i="51"/>
  <c r="H19" i="51"/>
  <c r="H18" i="51" s="1"/>
  <c r="H12" i="51"/>
  <c r="D12" i="54"/>
  <c r="G13" i="64"/>
  <c r="G12" i="64" s="1"/>
  <c r="G11" i="64"/>
  <c r="E52" i="71"/>
  <c r="E109" i="71"/>
  <c r="E107" i="71"/>
  <c r="E106" i="71" s="1"/>
  <c r="E115" i="71"/>
  <c r="E389" i="71"/>
  <c r="E390" i="71"/>
  <c r="E398" i="71"/>
  <c r="E448" i="71"/>
  <c r="E446" i="71" s="1"/>
  <c r="E496" i="71"/>
  <c r="E494" i="71"/>
  <c r="E342" i="71"/>
  <c r="E337" i="71"/>
  <c r="E334" i="71" s="1"/>
  <c r="E466" i="71"/>
  <c r="E468" i="71"/>
  <c r="F24" i="58"/>
  <c r="F15" i="58" s="1"/>
  <c r="E252" i="71"/>
  <c r="E248" i="71" s="1"/>
  <c r="K102" i="44"/>
  <c r="L10" i="71" l="1"/>
  <c r="F121" i="71"/>
  <c r="F11" i="71"/>
  <c r="F9" i="71" s="1"/>
  <c r="L9" i="71"/>
  <c r="E123" i="71"/>
  <c r="E16" i="71"/>
  <c r="E423" i="71"/>
  <c r="E124" i="71"/>
  <c r="L247" i="71"/>
  <c r="E19" i="71"/>
  <c r="J7" i="61"/>
  <c r="J6" i="61" s="1"/>
  <c r="Q6" i="61" s="1"/>
  <c r="G35" i="51"/>
  <c r="G34" i="51" s="1"/>
  <c r="H128" i="44"/>
  <c r="H5" i="44"/>
  <c r="K139" i="44"/>
  <c r="E11" i="53"/>
  <c r="E10" i="53" s="1"/>
  <c r="D9" i="51"/>
  <c r="K9" i="51" s="1"/>
  <c r="I8" i="53"/>
  <c r="I7" i="53" s="1"/>
  <c r="I6" i="53" s="1"/>
  <c r="P6" i="53" s="1"/>
  <c r="J35" i="51"/>
  <c r="J34" i="51" s="1"/>
  <c r="D15" i="70"/>
  <c r="D17" i="70" s="1"/>
  <c r="F4" i="44"/>
  <c r="D4" i="70" s="1"/>
  <c r="E68" i="72"/>
  <c r="E115" i="72"/>
  <c r="E116" i="72" s="1"/>
  <c r="E70" i="72"/>
  <c r="E76" i="72" s="1"/>
  <c r="D68" i="72"/>
  <c r="D115" i="72"/>
  <c r="D116" i="72" s="1"/>
  <c r="D70" i="72"/>
  <c r="D76" i="72" s="1"/>
  <c r="F70" i="72"/>
  <c r="F76" i="72" s="1"/>
  <c r="F68" i="72"/>
  <c r="F115" i="72"/>
  <c r="F116" i="72" s="1"/>
  <c r="G11" i="54"/>
  <c r="G10" i="54" s="1"/>
  <c r="J132" i="44"/>
  <c r="J6" i="44" s="1"/>
  <c r="I133" i="44"/>
  <c r="J133" i="44" s="1"/>
  <c r="F201" i="44"/>
  <c r="J8" i="53"/>
  <c r="E12" i="63"/>
  <c r="E11" i="63" s="1"/>
  <c r="H130" i="44"/>
  <c r="H127" i="44" s="1"/>
  <c r="L49" i="71"/>
  <c r="L121" i="71"/>
  <c r="L333" i="71"/>
  <c r="L425" i="71"/>
  <c r="L421" i="71"/>
  <c r="E181" i="71"/>
  <c r="I8" i="60"/>
  <c r="P8" i="60" s="1"/>
  <c r="J11" i="60"/>
  <c r="J10" i="60" s="1"/>
  <c r="F35" i="51"/>
  <c r="F34" i="51" s="1"/>
  <c r="H15" i="70"/>
  <c r="H17" i="70" s="1"/>
  <c r="I9" i="51"/>
  <c r="P9" i="51" s="1"/>
  <c r="E35" i="51"/>
  <c r="E34" i="51" s="1"/>
  <c r="H9" i="51"/>
  <c r="O9" i="51" s="1"/>
  <c r="L13" i="71"/>
  <c r="F59" i="52"/>
  <c r="F58" i="52" s="1"/>
  <c r="N8" i="53"/>
  <c r="G11" i="70"/>
  <c r="G13" i="70" s="1"/>
  <c r="M8" i="60"/>
  <c r="F7" i="60"/>
  <c r="F6" i="60" s="1"/>
  <c r="M6" i="60" s="1"/>
  <c r="G7" i="61"/>
  <c r="G6" i="61" s="1"/>
  <c r="N6" i="61" s="1"/>
  <c r="E11" i="62"/>
  <c r="E10" i="62" s="1"/>
  <c r="D7" i="61"/>
  <c r="D6" i="61" s="1"/>
  <c r="K6" i="61" s="1"/>
  <c r="E13" i="71"/>
  <c r="D10" i="64"/>
  <c r="D9" i="64" s="1"/>
  <c r="J12" i="63"/>
  <c r="J11" i="63" s="1"/>
  <c r="E9" i="61"/>
  <c r="E7" i="61" s="1"/>
  <c r="E6" i="61" s="1"/>
  <c r="L6" i="61" s="1"/>
  <c r="J8" i="54"/>
  <c r="J7" i="54" s="1"/>
  <c r="J6" i="54" s="1"/>
  <c r="Q6" i="54" s="1"/>
  <c r="K99" i="44"/>
  <c r="E522" i="71"/>
  <c r="E518" i="71" s="1"/>
  <c r="E517" i="71" s="1"/>
  <c r="E516" i="71" s="1"/>
  <c r="J59" i="52"/>
  <c r="J58" i="52" s="1"/>
  <c r="J8" i="59"/>
  <c r="J7" i="59" s="1"/>
  <c r="J6" i="59" s="1"/>
  <c r="Q6" i="59" s="1"/>
  <c r="H201" i="44"/>
  <c r="F7" i="61"/>
  <c r="F6" i="61" s="1"/>
  <c r="M6" i="61" s="1"/>
  <c r="H11" i="70"/>
  <c r="H13" i="70" s="1"/>
  <c r="C4" i="70"/>
  <c r="D9" i="52"/>
  <c r="K9" i="52" s="1"/>
  <c r="E455" i="71"/>
  <c r="K149" i="44"/>
  <c r="H12" i="63"/>
  <c r="H11" i="63" s="1"/>
  <c r="F12" i="63"/>
  <c r="F11" i="63" s="1"/>
  <c r="I10" i="64"/>
  <c r="I9" i="64" s="1"/>
  <c r="K101" i="44"/>
  <c r="K83" i="44"/>
  <c r="O8" i="53"/>
  <c r="G9" i="52"/>
  <c r="N9" i="52" s="1"/>
  <c r="H9" i="52"/>
  <c r="O9" i="52" s="1"/>
  <c r="D8" i="51"/>
  <c r="K8" i="51" s="1"/>
  <c r="E11" i="50"/>
  <c r="E10" i="50" s="1"/>
  <c r="K8" i="50"/>
  <c r="E5" i="70"/>
  <c r="E32" i="70" s="1"/>
  <c r="E34" i="70" s="1"/>
  <c r="G4" i="44"/>
  <c r="E4" i="70" s="1"/>
  <c r="D11" i="70"/>
  <c r="D13" i="70" s="1"/>
  <c r="F8" i="64"/>
  <c r="F7" i="64" s="1"/>
  <c r="F6" i="64" s="1"/>
  <c r="M6" i="64" s="1"/>
  <c r="F10" i="64"/>
  <c r="F9" i="64" s="1"/>
  <c r="E321" i="71"/>
  <c r="D8" i="60"/>
  <c r="D11" i="60"/>
  <c r="D10" i="60" s="1"/>
  <c r="K81" i="44"/>
  <c r="E500" i="71"/>
  <c r="E499" i="71" s="1"/>
  <c r="F44" i="70"/>
  <c r="G11" i="62"/>
  <c r="G10" i="62" s="1"/>
  <c r="E203" i="44"/>
  <c r="E200" i="44" s="1"/>
  <c r="E202" i="44" s="1"/>
  <c r="D59" i="52"/>
  <c r="D58" i="52" s="1"/>
  <c r="K124" i="44"/>
  <c r="I9" i="52"/>
  <c r="P9" i="52" s="1"/>
  <c r="D11" i="50"/>
  <c r="D10" i="50" s="1"/>
  <c r="H8" i="58"/>
  <c r="H7" i="58" s="1"/>
  <c r="H6" i="58" s="1"/>
  <c r="O6" i="58" s="1"/>
  <c r="G7" i="62"/>
  <c r="G6" i="62" s="1"/>
  <c r="N6" i="62" s="1"/>
  <c r="I8" i="63"/>
  <c r="I12" i="63"/>
  <c r="I11" i="63" s="1"/>
  <c r="G15" i="70"/>
  <c r="G17" i="70" s="1"/>
  <c r="G45" i="70"/>
  <c r="I131" i="44"/>
  <c r="I5" i="44" s="1"/>
  <c r="H17" i="62"/>
  <c r="G129" i="44"/>
  <c r="N8" i="62" s="1"/>
  <c r="N9" i="62"/>
  <c r="E8" i="64"/>
  <c r="E7" i="64" s="1"/>
  <c r="E6" i="64" s="1"/>
  <c r="L6" i="64" s="1"/>
  <c r="E10" i="64"/>
  <c r="E9" i="64" s="1"/>
  <c r="H8" i="64"/>
  <c r="H7" i="64" s="1"/>
  <c r="H6" i="64" s="1"/>
  <c r="O6" i="64" s="1"/>
  <c r="H10" i="64"/>
  <c r="H9" i="64" s="1"/>
  <c r="J8" i="64"/>
  <c r="J7" i="64" s="1"/>
  <c r="J6" i="64" s="1"/>
  <c r="Q6" i="64" s="1"/>
  <c r="J10" i="64"/>
  <c r="J9" i="64" s="1"/>
  <c r="G12" i="63"/>
  <c r="G11" i="63" s="1"/>
  <c r="G8" i="63"/>
  <c r="D8" i="63"/>
  <c r="D12" i="63"/>
  <c r="D11" i="63" s="1"/>
  <c r="F8" i="62"/>
  <c r="F11" i="62"/>
  <c r="F10" i="62" s="1"/>
  <c r="E11" i="60"/>
  <c r="E10" i="60" s="1"/>
  <c r="E8" i="60"/>
  <c r="H11" i="60"/>
  <c r="H10" i="60" s="1"/>
  <c r="H8" i="60"/>
  <c r="E45" i="70"/>
  <c r="E15" i="70"/>
  <c r="E17" i="70" s="1"/>
  <c r="B11" i="70"/>
  <c r="B13" i="70" s="1"/>
  <c r="B44" i="70"/>
  <c r="E236" i="71"/>
  <c r="E238" i="71"/>
  <c r="K46" i="44"/>
  <c r="K44" i="44"/>
  <c r="K25" i="44"/>
  <c r="D7" i="50"/>
  <c r="D6" i="50" s="1"/>
  <c r="K6" i="50" s="1"/>
  <c r="C70" i="72"/>
  <c r="C76" i="72" s="1"/>
  <c r="C68" i="72"/>
  <c r="C73" i="72" s="1"/>
  <c r="C74" i="72" s="1"/>
  <c r="D9" i="70"/>
  <c r="D39" i="70" s="1"/>
  <c r="D41" i="70" s="1"/>
  <c r="K9" i="44"/>
  <c r="I9" i="70" s="1"/>
  <c r="D3" i="44"/>
  <c r="B3" i="70" s="1"/>
  <c r="B43" i="70" s="1"/>
  <c r="K27" i="44"/>
  <c r="K12" i="44"/>
  <c r="J8" i="58"/>
  <c r="J7" i="58" s="1"/>
  <c r="J6" i="58" s="1"/>
  <c r="Q6" i="58" s="1"/>
  <c r="D11" i="53"/>
  <c r="D10" i="53" s="1"/>
  <c r="D8" i="53"/>
  <c r="D7" i="53" s="1"/>
  <c r="D6" i="53" s="1"/>
  <c r="K6" i="53" s="1"/>
  <c r="H11" i="54"/>
  <c r="H10" i="54" s="1"/>
  <c r="H8" i="54"/>
  <c r="E8" i="52"/>
  <c r="L8" i="52" s="1"/>
  <c r="E11" i="52"/>
  <c r="E10" i="52" s="1"/>
  <c r="K70" i="44"/>
  <c r="F8" i="59"/>
  <c r="M8" i="59" s="1"/>
  <c r="G11" i="59"/>
  <c r="G10" i="59" s="1"/>
  <c r="G8" i="59"/>
  <c r="D11" i="59"/>
  <c r="D10" i="59" s="1"/>
  <c r="D8" i="59"/>
  <c r="H11" i="59"/>
  <c r="H10" i="59" s="1"/>
  <c r="H8" i="59"/>
  <c r="E463" i="71"/>
  <c r="E462" i="71" s="1"/>
  <c r="E465" i="71"/>
  <c r="E336" i="71"/>
  <c r="E491" i="71"/>
  <c r="E493" i="71"/>
  <c r="E406" i="71"/>
  <c r="G10" i="64"/>
  <c r="G9" i="64" s="1"/>
  <c r="G8" i="64"/>
  <c r="G7" i="64" s="1"/>
  <c r="G6" i="64" s="1"/>
  <c r="N6" i="64" s="1"/>
  <c r="D8" i="54"/>
  <c r="D11" i="54"/>
  <c r="D10" i="54" s="1"/>
  <c r="E8" i="54"/>
  <c r="E11" i="54"/>
  <c r="E10" i="54" s="1"/>
  <c r="I11" i="54"/>
  <c r="I10" i="54" s="1"/>
  <c r="I8" i="54"/>
  <c r="F9" i="52"/>
  <c r="M9" i="52" s="1"/>
  <c r="J9" i="52"/>
  <c r="Q9" i="52" s="1"/>
  <c r="F11" i="52"/>
  <c r="F10" i="52" s="1"/>
  <c r="F8" i="52"/>
  <c r="E27" i="51"/>
  <c r="E26" i="51" s="1"/>
  <c r="E8" i="51"/>
  <c r="I27" i="51"/>
  <c r="I26" i="51" s="1"/>
  <c r="I8" i="51"/>
  <c r="G8" i="52"/>
  <c r="G11" i="52"/>
  <c r="G10" i="52" s="1"/>
  <c r="J11" i="52"/>
  <c r="J10" i="52" s="1"/>
  <c r="J8" i="52"/>
  <c r="O9" i="61"/>
  <c r="H7" i="61"/>
  <c r="H6" i="61" s="1"/>
  <c r="O6" i="61" s="1"/>
  <c r="M8" i="63"/>
  <c r="F7" i="63"/>
  <c r="F6" i="63" s="1"/>
  <c r="M6" i="63" s="1"/>
  <c r="L8" i="63"/>
  <c r="E7" i="63"/>
  <c r="E6" i="63" s="1"/>
  <c r="L6" i="63" s="1"/>
  <c r="J7" i="60"/>
  <c r="J6" i="60" s="1"/>
  <c r="Q6" i="60" s="1"/>
  <c r="Q8" i="60"/>
  <c r="I11" i="50"/>
  <c r="I10" i="50" s="1"/>
  <c r="I8" i="50"/>
  <c r="H12" i="62"/>
  <c r="H19" i="62"/>
  <c r="H18" i="62" s="1"/>
  <c r="G148" i="44"/>
  <c r="K157" i="44"/>
  <c r="K173" i="44"/>
  <c r="I18" i="70" s="1"/>
  <c r="I19" i="70" s="1"/>
  <c r="I21" i="70" s="1"/>
  <c r="B18" i="70"/>
  <c r="D203" i="44"/>
  <c r="D200" i="44" s="1"/>
  <c r="B15" i="70"/>
  <c r="B17" i="70" s="1"/>
  <c r="B45" i="70"/>
  <c r="I11" i="61"/>
  <c r="I10" i="61" s="1"/>
  <c r="I9" i="61"/>
  <c r="G11" i="60"/>
  <c r="G10" i="60" s="1"/>
  <c r="G8" i="60"/>
  <c r="E11" i="59"/>
  <c r="E10" i="59" s="1"/>
  <c r="E8" i="59"/>
  <c r="E14" i="58"/>
  <c r="E13" i="58" s="1"/>
  <c r="E8" i="58"/>
  <c r="G8" i="58"/>
  <c r="F11" i="54"/>
  <c r="F10" i="54" s="1"/>
  <c r="F8" i="54"/>
  <c r="I59" i="52"/>
  <c r="I58" i="52" s="1"/>
  <c r="H11" i="52"/>
  <c r="H10" i="52" s="1"/>
  <c r="H8" i="52"/>
  <c r="F11" i="50"/>
  <c r="F10" i="50" s="1"/>
  <c r="F8" i="50"/>
  <c r="J8" i="50"/>
  <c r="J11" i="50"/>
  <c r="J10" i="50" s="1"/>
  <c r="G11" i="50"/>
  <c r="G10" i="50" s="1"/>
  <c r="G8" i="50"/>
  <c r="J11" i="51"/>
  <c r="J10" i="51" s="1"/>
  <c r="J8" i="51"/>
  <c r="L8" i="53"/>
  <c r="E7" i="53"/>
  <c r="E6" i="53" s="1"/>
  <c r="L6" i="53" s="1"/>
  <c r="J7" i="53"/>
  <c r="J6" i="53" s="1"/>
  <c r="Q6" i="53" s="1"/>
  <c r="Q8" i="53"/>
  <c r="G7" i="54"/>
  <c r="G6" i="54" s="1"/>
  <c r="N6" i="54" s="1"/>
  <c r="N8" i="54"/>
  <c r="H7" i="63"/>
  <c r="H6" i="63" s="1"/>
  <c r="O6" i="63" s="1"/>
  <c r="O8" i="63"/>
  <c r="H11" i="50"/>
  <c r="H10" i="50" s="1"/>
  <c r="H59" i="52"/>
  <c r="H58" i="52" s="1"/>
  <c r="F11" i="51"/>
  <c r="F10" i="51" s="1"/>
  <c r="F8" i="51"/>
  <c r="K166" i="44"/>
  <c r="H165" i="44"/>
  <c r="E428" i="71"/>
  <c r="E426" i="71"/>
  <c r="E386" i="71"/>
  <c r="E384" i="71" s="1"/>
  <c r="E387" i="71"/>
  <c r="E112" i="71"/>
  <c r="E51" i="71"/>
  <c r="E11" i="71" s="1"/>
  <c r="E50" i="71"/>
  <c r="E396" i="71"/>
  <c r="H8" i="51"/>
  <c r="H11" i="51"/>
  <c r="H10" i="51" s="1"/>
  <c r="G11" i="51"/>
  <c r="G10" i="51" s="1"/>
  <c r="G8" i="51"/>
  <c r="F7" i="53"/>
  <c r="F6" i="53" s="1"/>
  <c r="M6" i="53" s="1"/>
  <c r="M8" i="53"/>
  <c r="I11" i="52"/>
  <c r="I10" i="52" s="1"/>
  <c r="I8" i="52"/>
  <c r="E59" i="52"/>
  <c r="E58" i="52" s="1"/>
  <c r="E9" i="52"/>
  <c r="I11" i="59"/>
  <c r="I10" i="59" s="1"/>
  <c r="I8" i="59"/>
  <c r="L9" i="62"/>
  <c r="E7" i="62"/>
  <c r="E6" i="62" s="1"/>
  <c r="L6" i="62" s="1"/>
  <c r="I20" i="62"/>
  <c r="D8" i="62"/>
  <c r="D11" i="62"/>
  <c r="D10" i="62" s="1"/>
  <c r="K182" i="44"/>
  <c r="I26" i="70" s="1"/>
  <c r="I27" i="70" s="1"/>
  <c r="I29" i="70" s="1"/>
  <c r="B26" i="70"/>
  <c r="K133" i="44"/>
  <c r="C23" i="70"/>
  <c r="C25" i="70" s="1"/>
  <c r="C47" i="70"/>
  <c r="D14" i="58"/>
  <c r="D13" i="58" s="1"/>
  <c r="D8" i="58"/>
  <c r="Q10" i="63"/>
  <c r="J7" i="63"/>
  <c r="J6" i="63" s="1"/>
  <c r="Q6" i="63" s="1"/>
  <c r="E7" i="50"/>
  <c r="E6" i="50" s="1"/>
  <c r="L6" i="50" s="1"/>
  <c r="L8" i="50"/>
  <c r="H7" i="50"/>
  <c r="H6" i="50" s="1"/>
  <c r="O6" i="50" s="1"/>
  <c r="O8" i="50"/>
  <c r="J28" i="62"/>
  <c r="J27" i="62" s="1"/>
  <c r="J26" i="62" s="1"/>
  <c r="I28" i="62"/>
  <c r="I27" i="62" s="1"/>
  <c r="I26" i="62" s="1"/>
  <c r="K134" i="44"/>
  <c r="D8" i="52"/>
  <c r="D11" i="52"/>
  <c r="D10" i="52" s="1"/>
  <c r="C11" i="70"/>
  <c r="C13" i="70" s="1"/>
  <c r="C44" i="70"/>
  <c r="I8" i="58"/>
  <c r="F14" i="58"/>
  <c r="F13" i="58" s="1"/>
  <c r="F8" i="58"/>
  <c r="E251" i="71"/>
  <c r="L420" i="71" l="1"/>
  <c r="L601" i="71"/>
  <c r="F8" i="71"/>
  <c r="F601" i="71"/>
  <c r="E235" i="71"/>
  <c r="E10" i="71"/>
  <c r="E9" i="71" s="1"/>
  <c r="E333" i="71"/>
  <c r="E121" i="71"/>
  <c r="O8" i="58"/>
  <c r="D35" i="70"/>
  <c r="D37" i="70" s="1"/>
  <c r="P8" i="53"/>
  <c r="I7" i="60"/>
  <c r="I6" i="60" s="1"/>
  <c r="P6" i="60" s="1"/>
  <c r="F203" i="44"/>
  <c r="F200" i="44" s="1"/>
  <c r="F210" i="44" s="1"/>
  <c r="F3" i="44"/>
  <c r="D3" i="70" s="1"/>
  <c r="D43" i="70" s="1"/>
  <c r="D42" i="70" s="1"/>
  <c r="I201" i="44"/>
  <c r="F73" i="72"/>
  <c r="F74" i="72" s="1"/>
  <c r="F75" i="72"/>
  <c r="D73" i="72"/>
  <c r="D74" i="72" s="1"/>
  <c r="D75" i="72"/>
  <c r="D7" i="51"/>
  <c r="D6" i="51" s="1"/>
  <c r="K6" i="51" s="1"/>
  <c r="E73" i="72"/>
  <c r="E74" i="72" s="1"/>
  <c r="E75" i="72"/>
  <c r="I25" i="62"/>
  <c r="I23" i="62" s="1"/>
  <c r="I22" i="62" s="1"/>
  <c r="I130" i="44"/>
  <c r="I127" i="44" s="1"/>
  <c r="I128" i="44"/>
  <c r="J131" i="44"/>
  <c r="J5" i="44" s="1"/>
  <c r="L8" i="71"/>
  <c r="E521" i="71"/>
  <c r="Q8" i="54"/>
  <c r="Q8" i="59"/>
  <c r="H4" i="44"/>
  <c r="F4" i="70" s="1"/>
  <c r="L9" i="61"/>
  <c r="F7" i="59"/>
  <c r="F6" i="59" s="1"/>
  <c r="M6" i="59" s="1"/>
  <c r="Q8" i="58"/>
  <c r="F5" i="70"/>
  <c r="F32" i="70" s="1"/>
  <c r="F34" i="70" s="1"/>
  <c r="E199" i="44"/>
  <c r="G3" i="44"/>
  <c r="E3" i="70" s="1"/>
  <c r="E43" i="70" s="1"/>
  <c r="D31" i="70"/>
  <c r="C35" i="70"/>
  <c r="C37" i="70" s="1"/>
  <c r="D7" i="60"/>
  <c r="D6" i="60" s="1"/>
  <c r="K6" i="60" s="1"/>
  <c r="K8" i="60"/>
  <c r="H7" i="60"/>
  <c r="H6" i="60" s="1"/>
  <c r="O6" i="60" s="1"/>
  <c r="O8" i="60"/>
  <c r="E7" i="60"/>
  <c r="E6" i="60" s="1"/>
  <c r="L6" i="60" s="1"/>
  <c r="L8" i="60"/>
  <c r="G7" i="63"/>
  <c r="G6" i="63" s="1"/>
  <c r="N6" i="63" s="1"/>
  <c r="N8" i="63"/>
  <c r="H15" i="62"/>
  <c r="H14" i="62" s="1"/>
  <c r="H13" i="62"/>
  <c r="H9" i="62" s="1"/>
  <c r="O9" i="62" s="1"/>
  <c r="M8" i="62"/>
  <c r="F7" i="62"/>
  <c r="F6" i="62" s="1"/>
  <c r="M6" i="62" s="1"/>
  <c r="D7" i="63"/>
  <c r="D6" i="63" s="1"/>
  <c r="K6" i="63" s="1"/>
  <c r="K8" i="63"/>
  <c r="J17" i="62"/>
  <c r="J15" i="62" s="1"/>
  <c r="J14" i="62" s="1"/>
  <c r="I17" i="62"/>
  <c r="K131" i="44"/>
  <c r="P8" i="63"/>
  <c r="I7" i="63"/>
  <c r="I6" i="63" s="1"/>
  <c r="P6" i="63" s="1"/>
  <c r="C75" i="72"/>
  <c r="H7" i="54"/>
  <c r="H6" i="54" s="1"/>
  <c r="O6" i="54" s="1"/>
  <c r="O8" i="54"/>
  <c r="K8" i="53"/>
  <c r="O8" i="59"/>
  <c r="H7" i="59"/>
  <c r="H6" i="59" s="1"/>
  <c r="O6" i="59" s="1"/>
  <c r="D7" i="59"/>
  <c r="D6" i="59" s="1"/>
  <c r="K6" i="59" s="1"/>
  <c r="K8" i="59"/>
  <c r="N8" i="59"/>
  <c r="G7" i="59"/>
  <c r="G6" i="59" s="1"/>
  <c r="N6" i="59" s="1"/>
  <c r="D7" i="58"/>
  <c r="D6" i="58" s="1"/>
  <c r="K6" i="58" s="1"/>
  <c r="K8" i="58"/>
  <c r="J25" i="62"/>
  <c r="D7" i="62"/>
  <c r="D6" i="62" s="1"/>
  <c r="K6" i="62" s="1"/>
  <c r="K8" i="62"/>
  <c r="I12" i="62"/>
  <c r="I19" i="62"/>
  <c r="I18" i="62" s="1"/>
  <c r="P8" i="59"/>
  <c r="I7" i="59"/>
  <c r="I6" i="59" s="1"/>
  <c r="P6" i="59" s="1"/>
  <c r="I7" i="52"/>
  <c r="I6" i="52" s="1"/>
  <c r="P6" i="52" s="1"/>
  <c r="P8" i="52"/>
  <c r="G7" i="51"/>
  <c r="G6" i="51" s="1"/>
  <c r="N6" i="51" s="1"/>
  <c r="N8" i="51"/>
  <c r="F14" i="70"/>
  <c r="K165" i="44"/>
  <c r="I14" i="70" s="1"/>
  <c r="I15" i="70" s="1"/>
  <c r="I17" i="70" s="1"/>
  <c r="I7" i="58"/>
  <c r="I6" i="58" s="1"/>
  <c r="P6" i="58" s="1"/>
  <c r="P8" i="58"/>
  <c r="C42" i="70"/>
  <c r="B27" i="70"/>
  <c r="B29" i="70" s="1"/>
  <c r="B48" i="70"/>
  <c r="H6" i="70"/>
  <c r="H35" i="70" s="1"/>
  <c r="H37" i="70" s="1"/>
  <c r="J20" i="62"/>
  <c r="K132" i="44"/>
  <c r="G6" i="70"/>
  <c r="G35" i="70" s="1"/>
  <c r="G37" i="70" s="1"/>
  <c r="H7" i="51"/>
  <c r="H6" i="51" s="1"/>
  <c r="O6" i="51" s="1"/>
  <c r="O8" i="51"/>
  <c r="E49" i="71"/>
  <c r="J7" i="50"/>
  <c r="J6" i="50" s="1"/>
  <c r="Q6" i="50" s="1"/>
  <c r="Q8" i="50"/>
  <c r="F7" i="54"/>
  <c r="F6" i="54" s="1"/>
  <c r="M6" i="54" s="1"/>
  <c r="M8" i="54"/>
  <c r="G7" i="58"/>
  <c r="G6" i="58" s="1"/>
  <c r="N6" i="58" s="1"/>
  <c r="N8" i="58"/>
  <c r="D199" i="44"/>
  <c r="D202" i="44"/>
  <c r="E10" i="70"/>
  <c r="G203" i="44"/>
  <c r="G200" i="44" s="1"/>
  <c r="D117" i="72" s="1"/>
  <c r="D118" i="72" s="1"/>
  <c r="K148" i="44"/>
  <c r="I10" i="70" s="1"/>
  <c r="I11" i="70" s="1"/>
  <c r="I13" i="70" s="1"/>
  <c r="H8" i="62"/>
  <c r="G7" i="52"/>
  <c r="G6" i="52" s="1"/>
  <c r="N6" i="52" s="1"/>
  <c r="N8" i="52"/>
  <c r="E7" i="54"/>
  <c r="E6" i="54" s="1"/>
  <c r="L6" i="54" s="1"/>
  <c r="L8" i="54"/>
  <c r="D7" i="54"/>
  <c r="D6" i="54" s="1"/>
  <c r="K6" i="54" s="1"/>
  <c r="K8" i="54"/>
  <c r="K8" i="52"/>
  <c r="D7" i="52"/>
  <c r="D6" i="52" s="1"/>
  <c r="K6" i="52" s="1"/>
  <c r="L9" i="52"/>
  <c r="E7" i="52"/>
  <c r="E6" i="52" s="1"/>
  <c r="L6" i="52" s="1"/>
  <c r="E422" i="71"/>
  <c r="E421" i="71" s="1"/>
  <c r="E420" i="71" s="1"/>
  <c r="E425" i="71"/>
  <c r="F7" i="51"/>
  <c r="F6" i="51" s="1"/>
  <c r="M6" i="51" s="1"/>
  <c r="M8" i="51"/>
  <c r="J7" i="51"/>
  <c r="J6" i="51" s="1"/>
  <c r="Q6" i="51" s="1"/>
  <c r="Q8" i="51"/>
  <c r="G7" i="50"/>
  <c r="G6" i="50" s="1"/>
  <c r="N6" i="50" s="1"/>
  <c r="N8" i="50"/>
  <c r="F7" i="50"/>
  <c r="F6" i="50" s="1"/>
  <c r="M6" i="50" s="1"/>
  <c r="M8" i="50"/>
  <c r="H7" i="52"/>
  <c r="H6" i="52" s="1"/>
  <c r="O6" i="52" s="1"/>
  <c r="O8" i="52"/>
  <c r="E7" i="58"/>
  <c r="E6" i="58" s="1"/>
  <c r="L6" i="58" s="1"/>
  <c r="L8" i="58"/>
  <c r="E7" i="59"/>
  <c r="E6" i="59" s="1"/>
  <c r="L6" i="59" s="1"/>
  <c r="L8" i="59"/>
  <c r="G7" i="60"/>
  <c r="G6" i="60" s="1"/>
  <c r="N6" i="60" s="1"/>
  <c r="N8" i="60"/>
  <c r="I7" i="61"/>
  <c r="I6" i="61" s="1"/>
  <c r="P6" i="61" s="1"/>
  <c r="P9" i="61"/>
  <c r="I4" i="44"/>
  <c r="B19" i="70"/>
  <c r="B21" i="70" s="1"/>
  <c r="B35" i="70" s="1"/>
  <c r="B46" i="70"/>
  <c r="H129" i="44"/>
  <c r="I7" i="50"/>
  <c r="I6" i="50" s="1"/>
  <c r="P6" i="50" s="1"/>
  <c r="P8" i="50"/>
  <c r="J7" i="52"/>
  <c r="J6" i="52" s="1"/>
  <c r="Q6" i="52" s="1"/>
  <c r="Q8" i="52"/>
  <c r="I7" i="51"/>
  <c r="I6" i="51" s="1"/>
  <c r="P6" i="51" s="1"/>
  <c r="P8" i="51"/>
  <c r="E7" i="51"/>
  <c r="E6" i="51" s="1"/>
  <c r="L6" i="51" s="1"/>
  <c r="L8" i="51"/>
  <c r="F7" i="52"/>
  <c r="F6" i="52" s="1"/>
  <c r="M6" i="52" s="1"/>
  <c r="M8" i="52"/>
  <c r="I7" i="54"/>
  <c r="I6" i="54" s="1"/>
  <c r="P6" i="54" s="1"/>
  <c r="P8" i="54"/>
  <c r="E490" i="71"/>
  <c r="E487" i="71"/>
  <c r="E486" i="71" s="1"/>
  <c r="E485" i="71" s="1"/>
  <c r="E247" i="71"/>
  <c r="F7" i="58"/>
  <c r="F6" i="58" s="1"/>
  <c r="M6" i="58" s="1"/>
  <c r="M8" i="58"/>
  <c r="E601" i="71" l="1"/>
  <c r="E604" i="71" s="1"/>
  <c r="E605" i="71" s="1"/>
  <c r="F604" i="71"/>
  <c r="F605" i="71" s="1"/>
  <c r="F202" i="44"/>
  <c r="C117" i="72"/>
  <c r="C118" i="72" s="1"/>
  <c r="G5" i="70"/>
  <c r="G32" i="70" s="1"/>
  <c r="G31" i="70" s="1"/>
  <c r="F199" i="44"/>
  <c r="I129" i="44"/>
  <c r="H11" i="62"/>
  <c r="H10" i="62" s="1"/>
  <c r="J130" i="44"/>
  <c r="J127" i="44" s="1"/>
  <c r="J128" i="44"/>
  <c r="K128" i="44" s="1"/>
  <c r="B42" i="70"/>
  <c r="E8" i="71"/>
  <c r="H203" i="44"/>
  <c r="H200" i="44" s="1"/>
  <c r="H3" i="44"/>
  <c r="F3" i="70" s="1"/>
  <c r="F43" i="70" s="1"/>
  <c r="J201" i="44"/>
  <c r="C31" i="70"/>
  <c r="I13" i="62"/>
  <c r="I9" i="62" s="1"/>
  <c r="P9" i="62" s="1"/>
  <c r="I15" i="62"/>
  <c r="I14" i="62" s="1"/>
  <c r="B37" i="70"/>
  <c r="B31" i="70"/>
  <c r="I3" i="44"/>
  <c r="G3" i="70" s="1"/>
  <c r="G43" i="70" s="1"/>
  <c r="G42" i="70" s="1"/>
  <c r="I203" i="44"/>
  <c r="I200" i="44" s="1"/>
  <c r="F117" i="72" s="1"/>
  <c r="F118" i="72" s="1"/>
  <c r="G4" i="70"/>
  <c r="E44" i="70"/>
  <c r="E42" i="70" s="1"/>
  <c r="E11" i="70"/>
  <c r="E13" i="70" s="1"/>
  <c r="E35" i="70" s="1"/>
  <c r="O8" i="62"/>
  <c r="H7" i="62"/>
  <c r="H6" i="62" s="1"/>
  <c r="O6" i="62" s="1"/>
  <c r="G199" i="44"/>
  <c r="G202" i="44"/>
  <c r="K6" i="44"/>
  <c r="I6" i="70" s="1"/>
  <c r="J19" i="62"/>
  <c r="J18" i="62" s="1"/>
  <c r="J12" i="62"/>
  <c r="F15" i="70"/>
  <c r="F17" i="70" s="1"/>
  <c r="F35" i="70" s="1"/>
  <c r="F45" i="70"/>
  <c r="I8" i="62"/>
  <c r="J23" i="62"/>
  <c r="J22" i="62" s="1"/>
  <c r="J13" i="62"/>
  <c r="J9" i="62" s="1"/>
  <c r="L604" i="71" l="1"/>
  <c r="L605" i="71" s="1"/>
  <c r="G34" i="70"/>
  <c r="J129" i="44"/>
  <c r="H202" i="44"/>
  <c r="E117" i="72"/>
  <c r="E118" i="72" s="1"/>
  <c r="K130" i="44"/>
  <c r="H5" i="70"/>
  <c r="H32" i="70" s="1"/>
  <c r="H31" i="70" s="1"/>
  <c r="H199" i="44"/>
  <c r="J4" i="44"/>
  <c r="K4" i="44" s="1"/>
  <c r="I4" i="70" s="1"/>
  <c r="F42" i="70"/>
  <c r="K5" i="44"/>
  <c r="I5" i="70" s="1"/>
  <c r="Q9" i="62"/>
  <c r="I11" i="62"/>
  <c r="I10" i="62" s="1"/>
  <c r="F37" i="70"/>
  <c r="F31" i="70"/>
  <c r="J11" i="62"/>
  <c r="J10" i="62" s="1"/>
  <c r="J8" i="62"/>
  <c r="K129" i="44"/>
  <c r="K127" i="44"/>
  <c r="E37" i="70"/>
  <c r="E31" i="70"/>
  <c r="P8" i="62"/>
  <c r="I7" i="62"/>
  <c r="I6" i="62" s="1"/>
  <c r="P6" i="62" s="1"/>
  <c r="I202" i="44"/>
  <c r="I199" i="44"/>
  <c r="H34" i="70" l="1"/>
  <c r="J3" i="44"/>
  <c r="H3" i="70" s="1"/>
  <c r="H43" i="70" s="1"/>
  <c r="H42" i="70" s="1"/>
  <c r="H4" i="70"/>
  <c r="J203" i="44"/>
  <c r="J200" i="44" s="1"/>
  <c r="J202" i="44" s="1"/>
  <c r="Q8" i="62"/>
  <c r="J7" i="62"/>
  <c r="J6" i="62" s="1"/>
  <c r="Q6" i="62" s="1"/>
  <c r="K3" i="44" l="1"/>
  <c r="I3" i="70" s="1"/>
  <c r="J199" i="44"/>
</calcChain>
</file>

<file path=xl/sharedStrings.xml><?xml version="1.0" encoding="utf-8"?>
<sst xmlns="http://schemas.openxmlformats.org/spreadsheetml/2006/main" count="2567" uniqueCount="679">
  <si>
    <t>Статус</t>
  </si>
  <si>
    <t xml:space="preserve">всего </t>
  </si>
  <si>
    <t>Социальная поддержка граждан Ивановской области</t>
  </si>
  <si>
    <t>Совершенствование институтов государственного управления и местного самоуправления Ивановской области</t>
  </si>
  <si>
    <t>Подпрограмма</t>
  </si>
  <si>
    <t>Разработка проектно-сметной документации на капитальный ремонт областных учреждений здравоохранения</t>
  </si>
  <si>
    <t>Капитальный ремонт областных учреждений здравоохранения</t>
  </si>
  <si>
    <t>Приобретение оборудования областными учреждениями здравоохранения</t>
  </si>
  <si>
    <t>Обеспечение безопасности граждан и профилактика правонарушений в Ивановской области</t>
  </si>
  <si>
    <t>Наказы избирателей</t>
  </si>
  <si>
    <t xml:space="preserve">Приобретение автомобилей скорой медицинской помощи </t>
  </si>
  <si>
    <t xml:space="preserve">Приобретение санитарного автотранспорта </t>
  </si>
  <si>
    <t>бюджетные</t>
  </si>
  <si>
    <t>казенные</t>
  </si>
  <si>
    <t>СПО</t>
  </si>
  <si>
    <t>Поэтапное повышение заработной платы, в т.ч.</t>
  </si>
  <si>
    <t>0901</t>
  </si>
  <si>
    <t>0902</t>
  </si>
  <si>
    <t>0904</t>
  </si>
  <si>
    <t>Итого бюджетные ассигнования</t>
  </si>
  <si>
    <t>Государственные программы, всего</t>
  </si>
  <si>
    <t>Обеспечение лекарствами</t>
  </si>
  <si>
    <t>Непрограммые мероприятия, в том числе:</t>
  </si>
  <si>
    <t xml:space="preserve">Подготовка населения и организаций к действиям в чрезвычайной ситуации в мирное и военное время
</t>
  </si>
  <si>
    <t xml:space="preserve"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
</t>
  </si>
  <si>
    <t xml:space="preserve">Предоставление стипендии студентам, обучающимся в областных государственных профессиональных образовательных организациях
</t>
  </si>
  <si>
    <t xml:space="preserve">Адаптация областных учреждений здравоохранения к обслуживанию инвалидов и других маломобильных групп населения
</t>
  </si>
  <si>
    <t xml:space="preserve">Приобретение производственного и хозяйственного инвентаря, включая медицинскую мебель, областными учреждениями здравоохранения, осуществляющими деятельность в сфере обязательного медицинского страхования
</t>
  </si>
  <si>
    <t xml:space="preserve">Обеспечение функций центральных исполнительных органов государственной власти Ивановской области
</t>
  </si>
  <si>
    <t xml:space="preserve">Выплата единовременного денежного пособия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
</t>
  </si>
  <si>
    <t xml:space="preserve">Выплата денежной компенсации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родителей, для приобретения одежды, обуви, мягкого инвентаря и оборудования
</t>
  </si>
  <si>
    <t xml:space="preserve">Обеспечение полноценным питанием детей в возрасте до трех лет
</t>
  </si>
  <si>
    <t xml:space="preserve">Приобретение специального оборудования и транспортных средств, необходимых для облегчения проведения медицинских мероприятий для инвалидов, для областных учреждений здравоохранения </t>
  </si>
  <si>
    <t>Итого бюджетные ассигнования (до изменений)</t>
  </si>
  <si>
    <t>Изменения</t>
  </si>
  <si>
    <t>Единовременные компенсационные выплаты медицинским работникам в возрасте до 45 лет, имеющим высшее образование, прибывшим в 2015 году на работу в сельский населенный пункт либо рабочий поселок Ивановской области или переехавшим на работу в сельский населенный пунк либо рабочий поселок Ивановской области из другого населенного пункта</t>
  </si>
  <si>
    <t>Иной межбюджетный трансферт бюджету территориального фонда обязательного медицинского страхования Ивановской области на финансовое обеспечение мероприятий, направленных на проведение пренатальной (дородовой) диагностики нарушений развития ребенка у беременных женщин</t>
  </si>
  <si>
    <t>«Кадровое обеспечение системы здравоохранения»</t>
  </si>
  <si>
    <t>«Охрана здоровья матери и ребенка»</t>
  </si>
  <si>
    <t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t>
  </si>
  <si>
    <t>Оказание первичной медико-санитарной помощи в амбулаторных условиях</t>
  </si>
  <si>
    <t xml:space="preserve">Оказание отдельным категориям граждан государственной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</t>
  </si>
  <si>
    <t>Реализация отдельных полномочий в области лекарственного обеспечения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</si>
  <si>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</si>
  <si>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Оказание специализированной медицинской помощи в стационарных условиях</t>
  </si>
  <si>
    <t>Оказание специализированной медицинской помощи в условиях дневного стационара</t>
  </si>
  <si>
    <t>Финансовое обеспечение закупок антибактериальных и противотуберкулёзных лекарственных препаратов (второго ряда), применяемых при лечении больных туберкулёзом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туберкулёза и мониторинга лечения больных туберкулёзом с множественной лекарственной устойчивостью возбудителя</t>
  </si>
  <si>
    <t xml:space="preserve">Реализация отдельных мероприятий государственной программы Российской Федерации  «Развитие здравоохранения»
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</si>
  <si>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</si>
  <si>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Реализация мероприятий по профилактике ВИЧ-инфекции и гепатитов B и C</t>
  </si>
  <si>
    <t>Иной межбюджетный трансферт бюджету территориального фонда обязательного медицинского страхования Ивановской области на финансовое обеспечение паллиативной медицинской помощи</t>
  </si>
  <si>
    <t>Обеспечение доноров, безвозмездно сдавших кровь и (или) ее компоненты, бесплатным питанием</t>
  </si>
  <si>
    <t xml:space="preserve">Реализация мероприятий, направленных на медицинское обеспечение населения при чрезвычайных ситуациях, оказание экстренной и консультативной помощи, медицинской эвакуации при чрезвычайных ситуациях
</t>
  </si>
  <si>
    <t xml:space="preserve">Обеспечение деятельности единой информационно-аналитической системы здравоохранения Ивановской области, направленной на своевременное и достоверное предоставление информации
</t>
  </si>
  <si>
    <t xml:space="preserve">Реализация мероприятий, направленных на количественную и качественную сохранность материалов, принятых на ответственное хранение, и пригодность к длительному хранению
</t>
  </si>
  <si>
    <t>Проведение судебно-медицинской экспертизы</t>
  </si>
  <si>
    <t>Обеспечение больных с хронической почечной недостаточностью, получающих процедуру диализа на аппарате «искусственная почка» в областных учреждениях здравоохранения, одноразовым лечебным питанием</t>
  </si>
  <si>
    <t>Компенсация затрат по проезду на транспорте общего пользования междугороднего и пригородного сообщения к месту получения процедуры диализа на аппарате «искусственная почка» и обратно больным с хронической почечной недостаточностью, получающим данную процедуру в медицинских организациях,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области, в том числе территориальной программы обязательного медицинского страхования</t>
  </si>
  <si>
    <t>Обеспечение лиц, больных сахарным диабетом, сахаропонижающими препаратами, средствами индивидуального контроля, средствами введения (шприц-ручки, шприцы инсулиновые и иглы к ним)</t>
  </si>
  <si>
    <t>Обеспечение больных артериальной гипертонией с 3 - 4 степенью риска осложнений, состоящих на диспансерном учете, не имеющих права на получение мер социальной поддержки по обеспечению лекарственными препаратами по данному заболеванию, в том числе в виде денежных компенсаций, в соответствии с федеральным законодательством, из числа социально не защищенных категорий граждан и работников, подлежащих дополнительной диспансеризации в рамках реализации приоритетного национального проекта в сфере здравоохранения, бесплатным необходимым минимумом гипотензивных лекарственных препаратов</t>
  </si>
  <si>
    <t>Обеспечение детей первых трех лет жизни, страдающих болезнями мочеполовой системы, болезнями органов пищеварения, бронхиальной астмой, болезнями органов дыхания, болезнями нервной системы, бесплатными лекарственными препаратами</t>
  </si>
  <si>
    <t>Обеспечение детей с рождения до 18 лет, страдающих фенилкетонурией, галактоземией, состоящих на диспансерном учете, не являющихся детьми-инвалидами и не имеющих права на получение мер социальной поддержки по обеспечению лекарственными препаратами по данным заболеваниям, в том числе в виде денежных компенсаций, в соответствии с федеральным законодательством, бесплатным лечебным питанием (заместительной терапией)</t>
  </si>
  <si>
    <t>Выплаты однократного выходного пособия при увольнении в связи с выходом на пенсию медицинским и иным работникам, непосредственно участвующим в оказании противотуберкулезной помощи</t>
  </si>
  <si>
    <t>Иной межбюджетный трансферт бюджету Федерального фонда обязательного медицинского страхования на обязательное медицинское страхование неработающего населения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</si>
  <si>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«Об основах охраны здоровья граждан в Российской Федерации» полномочий Российской Федерации в сфере охраны здоровья</t>
  </si>
  <si>
    <t>Государственная программа Ивановской области</t>
  </si>
  <si>
    <t>Основное мероприятие</t>
  </si>
  <si>
    <t>«Модернизация системы здравоохранения Ивановской области»</t>
  </si>
  <si>
    <t>«Укрепление материально-технической базы областных учреждений здравоохранения»</t>
  </si>
  <si>
    <t>«Профилактика заболеваний и формирование здорового образа жизни. Развитие первичной медико-санитарной помощи»</t>
  </si>
  <si>
    <t xml:space="preserve">Обеспечение содержания, воспитания, оказания медицинской и социальной помощи детям-сиротам и детям, оставшимся без попечения родителей, детям, находящимся в трудной жизненной ситуации, до достижения ими возраста четырех лет включительно
</t>
  </si>
  <si>
    <t>«Оказание первичной медико-санитарной помощи»</t>
  </si>
  <si>
    <t>«Профилактика инфекционных заболеваний, включая имунопрофилактику»</t>
  </si>
  <si>
    <t xml:space="preserve"> «Обеспечение лекарственными препаратами, изделиями медицинского назначения и лечебным питанием отдельных групп населения Ивановской области»</t>
  </si>
  <si>
    <t>«Совершенствование оказания специализированной, включая высокотехнологичную, медицинской помощи»</t>
  </si>
  <si>
    <t>«Специализированная медицинская помощь»</t>
  </si>
  <si>
    <t>«Обследование населения с целью выявления туберкулеза, лечения больных туберкулезом, обеспечение закупок диагностических средств для выявления и мониторинга лечения лиц, инфицированных вирусами иммунодефицита человека и гепатитов В и С»</t>
  </si>
  <si>
    <t>«Паллиативная медицинская помощь»</t>
  </si>
  <si>
    <t>«Оказание паллиативной помощи»</t>
  </si>
  <si>
    <t xml:space="preserve">«Заготовка, хранение, транспортировка и обеспечение безопасности донорской крови и (или) ее компонентов» </t>
  </si>
  <si>
    <t>Осуществление заготовки, хранения, транспортировки и обеспечения безопасности донорской крови и (или) ее компонентов</t>
  </si>
  <si>
    <t>«Другие вопросы в сфере здравоохранения»</t>
  </si>
  <si>
    <t xml:space="preserve">«Выхаживание и содержание детей-сирот, детей, оставшихся без попечения родителей, и детей, находящихся в трудной жизненной ситуации, с рождения и до достижения ими возраста четырех лет включительно» </t>
  </si>
  <si>
    <t>«Выполнение мероприятий, направленных на спасение жизни людей и защиту их здоровья при чрезвычайных ситуациях»</t>
  </si>
  <si>
    <t xml:space="preserve"> «Формирование и сопровождение единой информационно-аналитической системы здравоохранения Ивановской области»</t>
  </si>
  <si>
    <t xml:space="preserve">«Судебно-медицинская экспертиза» </t>
  </si>
  <si>
    <t>«Меры социальной поддержки отдельных групп населения при оказании медицинской помощи»</t>
  </si>
  <si>
    <t>«Меры социальной поддержки по обеспечению отдельных групп населения лекарственными препаратами и изделиями медицинского назначения»</t>
  </si>
  <si>
    <t>«Меры социальной поддержки медицинских и иных работников учреждений здравоохранения Ивановской области, непосредственно участвующих в оказании противотуберкулезной помощи»</t>
  </si>
  <si>
    <t>«Организация обязательного медицинского страхования на территории Ивановской области»</t>
  </si>
  <si>
    <t>Основно мероприятие</t>
  </si>
  <si>
    <t>«Уплата страховых взносов на обязательное медицинское страхование неработающего населения в Федеральный фонд обязательного медицинского страхования»</t>
  </si>
  <si>
    <t>«Осуществление полномочий Российской Федерации в сфере охраны здоровья»</t>
  </si>
  <si>
    <t>«Осуществление полномочий Российской Федерации, переданных органам государственной власти субъектов Российской Федерации,  в сфере охраны здоровья»</t>
  </si>
  <si>
    <t>«Создание системы раннего выявления и коррекции нарушений развития ребенка»</t>
  </si>
  <si>
    <t xml:space="preserve"> «Меры социальной поддержки в сфере здравоохранения»</t>
  </si>
  <si>
    <t>«Единовременные компенсационные выплаты медицинским работникам»</t>
  </si>
  <si>
    <t xml:space="preserve"> «Осуществление бесперебойного и полного обеспечения донорской кровью и (или) ее компонентами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области»</t>
  </si>
  <si>
    <t>Оказание медицинской помощи лицам, инфицированным вирусом иммунодефицита человека, гепатитами В и С</t>
  </si>
  <si>
    <t>Код целевой статьи расходов</t>
  </si>
  <si>
    <t>01 1 01 00020</t>
  </si>
  <si>
    <t>01 1 01 00030</t>
  </si>
  <si>
    <t>01 1 01 00040</t>
  </si>
  <si>
    <t>01 1 01 00050</t>
  </si>
  <si>
    <t>01 1 01 00060</t>
  </si>
  <si>
    <t>01 1 01 01870</t>
  </si>
  <si>
    <t>01 2 01 00010</t>
  </si>
  <si>
    <t>01 2 01 00070</t>
  </si>
  <si>
    <t>01 2 02 20020</t>
  </si>
  <si>
    <t>01 2 03 51330</t>
  </si>
  <si>
    <t>01 2 03 51610</t>
  </si>
  <si>
    <t>01 2 03 54600</t>
  </si>
  <si>
    <t>01 3 01 00010</t>
  </si>
  <si>
    <t>01 3 01 00080</t>
  </si>
  <si>
    <t>01 3 01 00090</t>
  </si>
  <si>
    <t>01 3 01 51740</t>
  </si>
  <si>
    <t>01 3 02 53820</t>
  </si>
  <si>
    <t>01 3 03 00010</t>
  </si>
  <si>
    <t>01 3 03 00110</t>
  </si>
  <si>
    <t>01 3 03 50720</t>
  </si>
  <si>
    <t>01 3 03 51790</t>
  </si>
  <si>
    <t>01 4 01 80010</t>
  </si>
  <si>
    <t>01 5 01 00010</t>
  </si>
  <si>
    <t>01 5 01 00130</t>
  </si>
  <si>
    <t>01 5 01 71010</t>
  </si>
  <si>
    <t>01 6 01 00010</t>
  </si>
  <si>
    <t>01 6 01 00120</t>
  </si>
  <si>
    <t>01 6 02 00180</t>
  </si>
  <si>
    <t>01 6 03 0190</t>
  </si>
  <si>
    <t>01 6 04 00200</t>
  </si>
  <si>
    <t>01 6 05 00010</t>
  </si>
  <si>
    <t>01 6 05 01970</t>
  </si>
  <si>
    <t>01 7 01 71020</t>
  </si>
  <si>
    <t>01 7 01 70830</t>
  </si>
  <si>
    <t>01 7 01 70890</t>
  </si>
  <si>
    <t>01 7 02 70020</t>
  </si>
  <si>
    <t>01 7 02 70030</t>
  </si>
  <si>
    <t>01 7 02 70040</t>
  </si>
  <si>
    <t>01 7 02 70050</t>
  </si>
  <si>
    <t>01 7 03 70010</t>
  </si>
  <si>
    <t>01 8 01 80040</t>
  </si>
  <si>
    <t>01 9 01 59800</t>
  </si>
  <si>
    <t>01 А 01 81900</t>
  </si>
  <si>
    <t>01 А 01 81910</t>
  </si>
  <si>
    <t>01 Б 01 70920</t>
  </si>
  <si>
    <t xml:space="preserve">«Развитие образования Ивановской области» </t>
  </si>
  <si>
    <t xml:space="preserve">Реализация основных профессиональных образовательных программ среднего профессионального медицинского образования - программ подготовки специалистов среднего звена
</t>
  </si>
  <si>
    <t xml:space="preserve">Реализация дополнительных профессиональных образовательных программ повышения квалификации и переподготовки кадров медицинских работников областных государственных учреждений здравоохранения
</t>
  </si>
  <si>
    <t>Дополнительное профессиональное образование</t>
  </si>
  <si>
    <t>Финансовое обеспечение предоставления мер социальной поддержки в сфере образования</t>
  </si>
  <si>
    <t>07 1 01 01240</t>
  </si>
  <si>
    <t>18 1 02 01450</t>
  </si>
  <si>
    <t>03 6 04 00780</t>
  </si>
  <si>
    <t>03 6 04 00810</t>
  </si>
  <si>
    <t>03 4 01 70490</t>
  </si>
  <si>
    <t>02 5 01 70090</t>
  </si>
  <si>
    <t>02 5 01 70080</t>
  </si>
  <si>
    <t>02 3 04 01660</t>
  </si>
  <si>
    <t>02 2 01 70780</t>
  </si>
  <si>
    <t>02 2 01 00010</t>
  </si>
  <si>
    <t>Наименование государственной программы, подпрограммы, основного мероприятия</t>
  </si>
  <si>
    <t>Федеральный бюджет</t>
  </si>
  <si>
    <t>Областной бюджет</t>
  </si>
  <si>
    <t>«Развитие здравоохранения Ивановской области» 
всего, в том числе:</t>
  </si>
  <si>
    <t xml:space="preserve">    </t>
  </si>
  <si>
    <t>Предоставление жилых помещений в общежитиях</t>
  </si>
  <si>
    <t>Предоставление полного государственного обеспечения и дополнительных гарантий по социальной поддержке детей-сирот и детей, оставшихся без попечения родителей, и лиц из числа детей-сирот и детей, оставшихся без попечения родителей,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</t>
  </si>
  <si>
    <t>02 2 01 02450</t>
  </si>
  <si>
    <t>02 5 01 70970</t>
  </si>
  <si>
    <t xml:space="preserve">Приложение 1 к государственной программе «Развитие здравоохранения Ивановской области»
</t>
  </si>
  <si>
    <t xml:space="preserve">Подпрограмма «Модернизация системы здравоохранения Ивановской области»
</t>
  </si>
  <si>
    <t>Ресурсное обеспечение мероприятий подпрограммы</t>
  </si>
  <si>
    <t>(руб.)</t>
  </si>
  <si>
    <t>N п/п</t>
  </si>
  <si>
    <t>Наименование мероприятия / Источник ресурсного обеспечения</t>
  </si>
  <si>
    <t>Исполнитель</t>
  </si>
  <si>
    <t>бюджетные ассигнования:</t>
  </si>
  <si>
    <t>- областной бюджет</t>
  </si>
  <si>
    <t>- федеральный бюджет</t>
  </si>
  <si>
    <t>внебюджетное финансирование:</t>
  </si>
  <si>
    <t>Департамент здравоохранения Ивановской области</t>
  </si>
  <si>
    <t xml:space="preserve">Приложение 2 к государственной программе «Развитие здравоохранения Ивановской области»
</t>
  </si>
  <si>
    <t xml:space="preserve">Подпрограмма «Профилактика заболеваний и формирование здорового образа жизни. Развитие первичной медико-санитарной помощи»
</t>
  </si>
  <si>
    <t xml:space="preserve">Приложение 3 к государственной программе «Развитие здравоохранения Ивановской области»
</t>
  </si>
  <si>
    <t xml:space="preserve">Подпрограмма «Совершенствование оказания специализированной, включая высокотехнологичную, медицинской помощи»
</t>
  </si>
  <si>
    <t xml:space="preserve">Приложение 4 к государственной программе «Развитие здравоохранения Ивановской области»
</t>
  </si>
  <si>
    <t xml:space="preserve">Подпрограмма «Паллиативная медицинская помощь»
</t>
  </si>
  <si>
    <t xml:space="preserve">Приложение 5 к государственной программе «Развитие здравоохранения Ивановской области»
</t>
  </si>
  <si>
    <t xml:space="preserve">Подпрограмма «Заготовка, хранение, транспортировка и обеспечение безопасности донорской крови и (или) ее компонентов» </t>
  </si>
  <si>
    <t xml:space="preserve">Приложение 6 к государственной программе «Развитие здравоохранения Ивановской области»
</t>
  </si>
  <si>
    <t>«Выполнение мероприятий по размещению, хранению, освежению, замене материальных ценностей мобилизационного резерва медицинского и санитарно-хозяйственного назначения»</t>
  </si>
  <si>
    <t>Мероприятия по развитию службы крови</t>
  </si>
  <si>
    <t xml:space="preserve">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
</t>
  </si>
  <si>
    <t>Текущий ремонт объектов благоустройства внутреннего двора корпуса для ветеранов войн ОБУЗ "Ивановский областной госпиталь для ветеранов войн"</t>
  </si>
  <si>
    <t>Ремонт патологоанатомического отделения областного бюджетного учреждения здравоохранения "Ивановская областная клиническая больница"</t>
  </si>
  <si>
    <t>Пристройка шахты лифта к хирургическому корпусу ОБУЗ «Кинешемская центральная районная больница»</t>
  </si>
  <si>
    <t xml:space="preserve">Компенсация затрат по проезду на транспорте общего пользования междугороднего и пригородного сообщения к месту получения процедуры диализа на аппарате "искусственная почка" и обратно больным с хронической почечной недостаточностью, получающим данную процедуру в областных учреждениях здравоохранения
</t>
  </si>
  <si>
    <t xml:space="preserve">Предоставление санаторно-курортной помощи детям
</t>
  </si>
  <si>
    <t>«Оказание санаторно-оздоровительной помощи»</t>
  </si>
  <si>
    <t>Оказание высокотехнолгичной медицинской помощи</t>
  </si>
  <si>
    <t>Оказание скорой медицинской помощи</t>
  </si>
  <si>
    <t xml:space="preserve">Оплата лечения при оказании высокотехнологичной медицинской помощи в федеральных учреждениях здравоохранения
</t>
  </si>
  <si>
    <t xml:space="preserve">Мероприятия по оказанию высокотехнологичных видов медицинской помощи
</t>
  </si>
  <si>
    <t xml:space="preserve">«Обеспечение лекарственными препаратами во исполнение судебных актов» </t>
  </si>
  <si>
    <t xml:space="preserve">Проведение мероприятий по организации приобретения и выдачи соответствующих лекарственных препаратов, изделий медицинского назначения, лечебного питания для лечения в государственных учреждениях здравоохранения
</t>
  </si>
  <si>
    <t>Улучшение лекарственного обеспечения граждан</t>
  </si>
  <si>
    <t>«Обеспечение бесперебойного и своевременного оказания скорой медицинской помощи на территории Ивановской области»</t>
  </si>
  <si>
    <t xml:space="preserve">Иной межбюджетный трансферт бюджету территориального фонда обязательного медицинского страхования Ивановской области на финансовое обеспечение скорой медицинской помощи (за исключением специализированной (санитарно-авиационной) скорой медицинской помощи) в части базовой программы обязательного медицинского страхования
</t>
  </si>
  <si>
    <t xml:space="preserve">Иной межбюджетный трансферт бюджету территориального фонда обязательного медицинского страхования Ивановской области на финансовое обеспечение скорой медицинской помощи (за исключением специализированной (санитарно-авиационной) скорой медицинской помощи) сверх базовой программы обязательного медицинского страхования
</t>
  </si>
  <si>
    <t xml:space="preserve">Единовременные компенсационные выплаты медицинским работникам в возрасте до 35 лет, прибывшим после окончания образовательного учреждения высшего профессионального образования на работу в сельский населенный пункт либо рабочий поселок или переехавшим на работу в сельский населенный пункт либо рабочий поселок из другого населенного пункта
</t>
  </si>
  <si>
    <t xml:space="preserve">Осуществление единовременных выплат медицинским работникам
</t>
  </si>
  <si>
    <t xml:space="preserve">Закупка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
</t>
  </si>
  <si>
    <t xml:space="preserve">Закупка оборудования и расходных материалов для неонатального и аудиологического скрининга в учреждениях государственной системы здравоохранения Ивановской области
</t>
  </si>
  <si>
    <t xml:space="preserve">Финансовое обеспечение мероприятий, направленных на проведение пренатальной (дородовой) диагностики нарушений развития ребенка
</t>
  </si>
  <si>
    <t xml:space="preserve">Мероприятия, направленные на проведение пренатальной (дородовой) диагностики нарушений развития ребенка, в части закупки оборудования и расходных материалов для ее проведения
</t>
  </si>
  <si>
    <t xml:space="preserve">Организация профессионального образования и дополнительного профессионального образования лиц, замещающих государственные должности Ивановской области, дополнительного профессионального образования государственных гражданских служащих Ивановской области
</t>
  </si>
  <si>
    <t>Долгосрочная сбалансированность и устойчисвость бюджетной системы Ивановской области</t>
  </si>
  <si>
    <t xml:space="preserve">Резервный фонд Правительства Ивановской области
</t>
  </si>
  <si>
    <t>Закупка аллергена туберкулезного очищенного в стандартном разведении для проведения туберкулинодианостики</t>
  </si>
  <si>
    <t>02 2 02 38930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</si>
  <si>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</si>
  <si>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Проведение патологоанатомических вскрытий </t>
  </si>
  <si>
    <t>01 3 01 02500</t>
  </si>
  <si>
    <t>Наименование мероприятия/Источник ресурсного обеспечения</t>
  </si>
  <si>
    <t>Подпрограмма, всего:</t>
  </si>
  <si>
    <t>бюджетные ассигнования</t>
  </si>
  <si>
    <t>- от физических и юридических лиц</t>
  </si>
  <si>
    <t>-</t>
  </si>
  <si>
    <t>1.</t>
  </si>
  <si>
    <t>2.</t>
  </si>
  <si>
    <t>- бюджет территориального фонда обязательного медицинского страхования</t>
  </si>
  <si>
    <t>3.</t>
  </si>
  <si>
    <t>4.</t>
  </si>
  <si>
    <t>5.</t>
  </si>
  <si>
    <t>1.1.</t>
  </si>
  <si>
    <t>1.2.</t>
  </si>
  <si>
    <t>2.1.</t>
  </si>
  <si>
    <t>2.2.</t>
  </si>
  <si>
    <t>3.1.</t>
  </si>
  <si>
    <t>3.2.</t>
  </si>
  <si>
    <t>3.3.</t>
  </si>
  <si>
    <t>3.4.</t>
  </si>
  <si>
    <t>4.1.</t>
  </si>
  <si>
    <t>4.2.</t>
  </si>
  <si>
    <t>5.1.</t>
  </si>
  <si>
    <t>№ п/п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</si>
  <si>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</si>
  <si>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</si>
  <si>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</si>
  <si>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</si>
  <si>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</si>
  <si>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</si>
  <si>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</si>
  <si>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</si>
  <si>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</si>
  <si>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 Департамент здравоохранения Ивановской области</t>
  </si>
  <si>
    <t>6.</t>
  </si>
  <si>
    <t>6.1.</t>
  </si>
  <si>
    <t>6.2.</t>
  </si>
  <si>
    <t xml:space="preserve">Подпрограмма «Другие вопросы в сфере здравоохранения» </t>
  </si>
  <si>
    <t>2.3.</t>
  </si>
  <si>
    <t>2.4.</t>
  </si>
  <si>
    <t xml:space="preserve">Подпрограмма «Меры социальной поддержки в сфере здравоохранения» </t>
  </si>
  <si>
    <t xml:space="preserve">Приложение 7 к государственной программе «Развитие здравоохранения Ивановской области»
</t>
  </si>
  <si>
    <t xml:space="preserve">Приложение 8 к государственной программе «Развитие здравоохранения Ивановской области»
</t>
  </si>
  <si>
    <t xml:space="preserve">Подпрограмма «Организация обязательного медицинского страхования на территории Ивановской области» </t>
  </si>
  <si>
    <t>Наименование мероприятия/источник ресурсного обеспечения</t>
  </si>
  <si>
    <t xml:space="preserve">Приложение 9 к государственной программе «Развитие здравоохранения Ивановской области»
</t>
  </si>
  <si>
    <t xml:space="preserve">Подпрограмма «Осуществление полномочий Российской Федерации в сфере охраны здоровья» </t>
  </si>
  <si>
    <t xml:space="preserve">Подпрограмма «Охрана здоровья матери и ребенка» </t>
  </si>
  <si>
    <t xml:space="preserve">Приложение 10 к государственной программе «Развитие здравоохранения Ивановской области»
</t>
  </si>
  <si>
    <t xml:space="preserve">Подпрограмма «Кадровое обеспечение системы здравоохранения» </t>
  </si>
  <si>
    <t>- бюджеты государственных внебюджетных фондов</t>
  </si>
  <si>
    <t>Единовременные компенсационные выплаты медицинским работникам</t>
  </si>
  <si>
    <t>Единовременные компенсационные выплаты медицинским работникам в возрасте до 35 лет, прибывшим после окончания образовательного учреждения высшего профессионального образования на работу в сельский населенный пункт либо рабочий поселок или переехавшим на работу в сельский населенный пункт либо рабочий поселок из другого населенного пункта</t>
  </si>
  <si>
    <t>Единовременные компенсационные выплаты медицинским работникам в возрасте до 45 лет, имеющим высшее образование, прибывшим в 2015 году на работу в сельский населенный пункт либо рабочий поселок Ивановской области или переехавшим на работу в сельский населенный пункт либо рабочий поселок Ивановской области из другого населенного пункта</t>
  </si>
  <si>
    <t>Осуществление единовременных выплат медицинским работникам</t>
  </si>
  <si>
    <t xml:space="preserve">Приложение 11 к государственной программе «Развитие здравоохранения Ивановской области»
</t>
  </si>
  <si>
    <t>«Организация выполнения Территориальной программы государственных гарантий бесплатного оказания гражданам медицинской помощи на территории Ивановской области за счет средств ОМС»</t>
  </si>
  <si>
    <t xml:space="preserve">Обеспечение оказания в полном объеме и на должном уровне качества бесплатной медицинской помощи населению Ивановской области, финансирование оказания которой осуществляется за счет средств ОМС
</t>
  </si>
  <si>
    <t>бюджет территориального фонда обязательного медицинского страхования Ивановской области</t>
  </si>
  <si>
    <t>от физических и юридических лиц</t>
  </si>
  <si>
    <t>федеральный бюджет</t>
  </si>
  <si>
    <t>областной бюджет</t>
  </si>
  <si>
    <t>бюджеты государственных внебюджетных фондов</t>
  </si>
  <si>
    <t>Наименование мероприятия /</t>
  </si>
  <si>
    <t>территориальный фонд обязательного медицинского страхования Ивановской области</t>
  </si>
  <si>
    <t xml:space="preserve">Приложение 12 к государственной программе «Развитие здравоохранения Ивановской области»
</t>
  </si>
  <si>
    <t>Срок</t>
  </si>
  <si>
    <t>Обеспечение функций центральных исполнительных органов государственной власти Ивановской области</t>
  </si>
  <si>
    <t xml:space="preserve">Подпрограмма «Обеспечение деятельности органов государственной власти Ивановской области» </t>
  </si>
  <si>
    <t xml:space="preserve">Приложение 1 к государственной программе Ивановской области «Совершенствование институтов государственного управления и местного самоуправления Ивановской области»
</t>
  </si>
  <si>
    <t>2014-2020</t>
  </si>
  <si>
    <t>Наименование мероприятия</t>
  </si>
  <si>
    <t>10.</t>
  </si>
  <si>
    <t>Обеспечение полноценным питанием детей в возрасте до трех лет</t>
  </si>
  <si>
    <t>бюджетные ассигнования, в том числе:</t>
  </si>
  <si>
    <t xml:space="preserve">Подпрограмма «Предоставление пособий и компенсаций, связанных с материнством и детством» </t>
  </si>
  <si>
    <t xml:space="preserve">внебюджетное финансирование
</t>
  </si>
  <si>
    <t xml:space="preserve">Приложение 12 к Программе
</t>
  </si>
  <si>
    <t xml:space="preserve">Приложение 18 к Программе
</t>
  </si>
  <si>
    <t xml:space="preserve">Подпрограмма «Формирование доступной среды жизнедеятельности для инвалидов и других маломобильных групп населения в Ивановской области» </t>
  </si>
  <si>
    <t xml:space="preserve">Приобретение специального оборудования и транспортных средств, необходимых для облегчения проведения медицинских мероприятий для инвалидов, для областных учреждений здравоохранения
</t>
  </si>
  <si>
    <t xml:space="preserve">Ресурсное обеспечение реализации мероприятий Подпрограммы
</t>
  </si>
  <si>
    <t xml:space="preserve">Приложение 1 к государственной программе Ивановской области «Обеспечение безопасности граждан и профилактика правонарушений в Ивановской области»
</t>
  </si>
  <si>
    <t xml:space="preserve">Подпрограмма «Гражданская защита населения» </t>
  </si>
  <si>
    <t>5.2.</t>
  </si>
  <si>
    <t xml:space="preserve">Объем бюджетных ассигнований на выполнение мероприятий подпрограммы, руб.
</t>
  </si>
  <si>
    <t xml:space="preserve">Подпрограмма «Реализация основных профессиональных образовательных программ среднего профессионального образования» </t>
  </si>
  <si>
    <t xml:space="preserve">Приложение 6 к государственной программе Ивановской области «Развитие образования Ивановской области»
</t>
  </si>
  <si>
    <t xml:space="preserve">Приложение 12 к государственной программе Ивановской области «Развитие образования Ивановской области»
</t>
  </si>
  <si>
    <t xml:space="preserve">Подпрограмма «Дополнительное профессиональное образование» </t>
  </si>
  <si>
    <t xml:space="preserve">Приложение 14 к государственной программе Ивановской области «Развитие образования Ивановской области»
</t>
  </si>
  <si>
    <t xml:space="preserve">Подпрограмма «Финансовое обеспечение предоставления мер социальной поддержки в сфере образования» </t>
  </si>
  <si>
    <t>01 2 01 21710</t>
  </si>
  <si>
    <t>Обеспечение государственных учреждений здравоохранения Ивановской области иммунобиологическими лекарственными препаратами для иммунопрофилактики в целях проведения профилактических прививок, включенных в календарь профилактических прививок по эпидемическим показаниям</t>
  </si>
  <si>
    <t>Финансовое обеспечение организации обязательного медицинского страхования на территориях субъектов Российской Федерации</t>
  </si>
  <si>
    <t xml:space="preserve">Дополнительное финансовое обеспечение организации обязательного медицинского страхования на территории Ивановской области </t>
  </si>
  <si>
    <t>Исполнение предписания (Финнадзор)</t>
  </si>
  <si>
    <t>платеж на неработающее население</t>
  </si>
  <si>
    <t>ИТОГО бюджет ТФОМС (в части ГП здравоохранение без платежа)</t>
  </si>
  <si>
    <t>ИТОГО бюджет ТФОМС (в части ГП здравоохранение)</t>
  </si>
  <si>
    <t>ИТОГО бюджетные ассигнования ДЗО</t>
  </si>
  <si>
    <t>Областной бюджет (непрограммные мероприятия)</t>
  </si>
  <si>
    <t>образование ДЗО</t>
  </si>
  <si>
    <t>социальная поддержка ДЗО</t>
  </si>
  <si>
    <t>безопасность ДЗО</t>
  </si>
  <si>
    <t>управление ДЗО</t>
  </si>
  <si>
    <t>устойчивость бюджетной системы ДЗО</t>
  </si>
  <si>
    <t xml:space="preserve">Государственные программы, всего </t>
  </si>
  <si>
    <t>«Совершенствование оказания медицинской помощи лицам, инфицированным вирусом иммунодефицита человека, гепатитами В и С»</t>
  </si>
  <si>
    <t>Компенсация расходов на граждан Украины</t>
  </si>
  <si>
    <t>Федеральный бюджет (непрограммные мероприятия (компенсация расходов на граждан Украины))</t>
  </si>
  <si>
    <t xml:space="preserve">Приложение </t>
  </si>
  <si>
    <t>Наименование Программы</t>
  </si>
  <si>
    <t>«Развитие здравоохранения Ивановской области»на 2014-2020 годы</t>
  </si>
  <si>
    <t>Администратор Программы</t>
  </si>
  <si>
    <t xml:space="preserve">Наименование Программы, подпрограммы, основного мероприятия, мероприятия </t>
  </si>
  <si>
    <t>Источник финансирования</t>
  </si>
  <si>
    <t>Объем ресурсного обеспечения, утвержденный Программой</t>
  </si>
  <si>
    <t>Объем кассовых расходов на отчетную дату</t>
  </si>
  <si>
    <t>Краткое описание текущего состояния процесса реализации основного мероприятия, мероприятия</t>
  </si>
  <si>
    <t xml:space="preserve">Наименование целевого индикатора (показателя) </t>
  </si>
  <si>
    <t>Единица измерения</t>
  </si>
  <si>
    <t>План</t>
  </si>
  <si>
    <t>Факт</t>
  </si>
  <si>
    <t>Справочно
Объем бюджетных ассигнований, утвержденных Законом о бюджете</t>
  </si>
  <si>
    <t>«Развитие здравоохранения Ивановской области»</t>
  </si>
  <si>
    <t>Программа , ВСЕГО</t>
  </si>
  <si>
    <t>Территориальный фонд обязательного медициского страхования Ивановской области</t>
  </si>
  <si>
    <t>внебюджетное финансирование</t>
  </si>
  <si>
    <t>территориальный фонд ОМС</t>
  </si>
  <si>
    <t>жалоб</t>
  </si>
  <si>
    <t>%</t>
  </si>
  <si>
    <t>Соотношение средней заработной платы врачей и иных работников медицинских организаций, имеющих высшее медицинское (фармацевтическое) или иное высшее профессиональное образование, предоставляющих медицинские услуги (обеспечивающих предоставление медицинских услуг), и средней заработной платы в субъектах Российской Федерации в 2012 - 2018 годах (агрегированные значения)</t>
  </si>
  <si>
    <t xml:space="preserve">Соотношение средней заработной платы среднего медицинского (фармацевтического) персонала (персонала, обеспечивающего предоставление медицинских услуг) и средней заработной платы в субъектах Российской Федерации в 2012 - 2018 годах (агрегированные значения)
</t>
  </si>
  <si>
    <t>Соотношение средней заработной платы младшего медицинского персонала (персонала, обеспечивающего предоставление медицинских услуг) и средней заработной платы в субъектах Российской Федерации в 2012 - 2018 годах (агрегированные значения)</t>
  </si>
  <si>
    <t>процентов</t>
  </si>
  <si>
    <t xml:space="preserve"> Удовлетворенность потребителей в оказанной государственной услуге
</t>
  </si>
  <si>
    <t>условных единиц</t>
  </si>
  <si>
    <t>Охват туберкулинодиагностикой детского населения Ивановской области от 1 года до 17 лет включительно</t>
  </si>
  <si>
    <t xml:space="preserve">Поставка в государственные учреждения здравоохранения Ивановской области иммунобиологических лекарственных препаратов в целях проведения профилактических прививок, включенных в календарь профилактических прививок по эпидемическим показаниям
</t>
  </si>
  <si>
    <t>доз</t>
  </si>
  <si>
    <t>человек</t>
  </si>
  <si>
    <t>Соответствие порядкам оказания медицинской помощи и на основе стандартов медицинской помощи</t>
  </si>
  <si>
    <t>Удовлетворенность потребителей в оказанной государственной услуге</t>
  </si>
  <si>
    <t>единиц</t>
  </si>
  <si>
    <t>Объем оказания паллиативной медицинской помощи в стационарных условиях</t>
  </si>
  <si>
    <t>койко-дней</t>
  </si>
  <si>
    <t>Объем оказания паллиативной медицинской помощи в амбулаторных условиях</t>
  </si>
  <si>
    <t>посещений</t>
  </si>
  <si>
    <t>Соответствие техническому регламенту о безопасности крови, ее продуктов, кровезамещающих растворов и технических средств, используемых в трансфузионно-инфузионной терапии</t>
  </si>
  <si>
    <t>Условная единица продукта переработки (в перерасчете на 1 литр цельной крови)</t>
  </si>
  <si>
    <t>Число доноров крови и ее компонентов</t>
  </si>
  <si>
    <t xml:space="preserve">на 1000 человек населения
</t>
  </si>
  <si>
    <t>Число детей-сирот и детей, оставшихся без попечения родителей, детей, находящихся в трудной жизненной ситуации, находящихся на круглосуточном содержании</t>
  </si>
  <si>
    <t>Степень загрузки мощностей государственных учреждений здравоохранения, оказывающих государственную услугу</t>
  </si>
  <si>
    <t>Соответствие порядкам оказания медицинской помощи детям на основе стандартов медицинской помощи</t>
  </si>
  <si>
    <t>Количество койко-дней</t>
  </si>
  <si>
    <t>Отчет</t>
  </si>
  <si>
    <t>Количество экспертиз</t>
  </si>
  <si>
    <t>Пригодность к длительному хранению</t>
  </si>
  <si>
    <t>Количественная и качественная сохранность материалов, принятых на ответственное хранение</t>
  </si>
  <si>
    <t>Среднегодовое число больных, получающих процедуру диализа на аппарате "искусственная почка" в медицинских организациях,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области, в том числе Территориальной программы обязательного медицинского страхования, получающих компенсацию затрат по проезду на транспорте общего пользования междугороднего и пригородного сообщения к месту получения процедуры диализа на аппарате "искусственная почка" и обратно</t>
  </si>
  <si>
    <t>Численность неработающих лиц, застрахованных в системе обязательного медицинского страхования (по состоянию на 1 апреля предшествующего года)</t>
  </si>
  <si>
    <t>Количество предоставленных и переоформленных лицензий на осуществление медицинской, фармацевтической деятельности, деятельности по обороту наркотических средств, психотропных веществ и их прекурсоров, культивированию наркосодержащих растений</t>
  </si>
  <si>
    <t>шт.</t>
  </si>
  <si>
    <t>Доля обследованных новорожденных при проведении неонатального скрининга в общем числе родившихся в Субъекте в текущем году</t>
  </si>
  <si>
    <t xml:space="preserve">Доля беременных женщин, которым проведена пренатальная (дородовая) диагностика в первом триместре беременности, в общем числе беременных, вставших на учет в учреждении здравоохранения в первом триместре беременности
</t>
  </si>
  <si>
    <t xml:space="preserve">Объем оказания медицинской помощи в стационарных условиях за счет средств ОМС
</t>
  </si>
  <si>
    <t xml:space="preserve">Объем оказания медицинской помощи в условиях дневного стационара за счет средств ОМС
</t>
  </si>
  <si>
    <t xml:space="preserve">Объем оказания амбулаторной помощи за счет средств ОМС:
</t>
  </si>
  <si>
    <t>«Развитие образования Ивановской области»</t>
  </si>
  <si>
    <t xml:space="preserve">Программа, ВСЕГО </t>
  </si>
  <si>
    <t>Бюджетные ассигнования</t>
  </si>
  <si>
    <t xml:space="preserve">Отношение средней заработной платы преподавателей и мастеров производственного обучения государственных профессиональных образовательных организаций к средней заработной плате в Ивановской области
</t>
  </si>
  <si>
    <t xml:space="preserve">Развитие профессионального образования
</t>
  </si>
  <si>
    <t xml:space="preserve">«Реализация программ среднего профессионального образования и основных программ профессионального обучения» </t>
  </si>
  <si>
    <t xml:space="preserve"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
</t>
  </si>
  <si>
    <t xml:space="preserve">Среднегодовое число студентов областных государственных профессиональных образовательных организаций в рамках оказания государственной услуги Ивановской области
</t>
  </si>
  <si>
    <t xml:space="preserve">Предоставление стипендии студентам, обучающимся в областных государственных профессиональных образовательных организациях
</t>
  </si>
  <si>
    <t xml:space="preserve">Среднегодовое число студентов областных государственных профессиональных образовательных организаций, обучающихся по очной форме обучения за счет средств областного бюджета
</t>
  </si>
  <si>
    <t xml:space="preserve">Предоставление жилых помещений в общежитиях
</t>
  </si>
  <si>
    <t xml:space="preserve">Среднегодовое число студентов областных государственных профессиональных образовательных организаций, проживающих в общежитии
</t>
  </si>
  <si>
    <t xml:space="preserve">Развитие дополнительного образования
и реализация государственной молодежной политики
</t>
  </si>
  <si>
    <t xml:space="preserve">Реализация дополнительных профессиональных образовательных программ повышения квалификации и переподготовки кадров медицинских работников областных государственных учреждений здравоохранения
</t>
  </si>
  <si>
    <t>Число медицинских работников, получивших дополнительное профессиональное образование по программам повышения квалификации в рамках оказания государственной услуги Ивановской области</t>
  </si>
  <si>
    <t>Среднегодовое число медицинских работников, получивших дополнительное профессиональное образование по программам переподготовки в рамках оказания государственной услуги Ивановской области</t>
  </si>
  <si>
    <t xml:space="preserve">Финансовое обеспечение предоставления мер социальной поддержки в сфере образования
</t>
  </si>
  <si>
    <t xml:space="preserve">Социальная поддержка в сфере образования
</t>
  </si>
  <si>
    <t xml:space="preserve">Количество выпускников государственных профессиональных образовательных организаций - детей-сирот и детей, оставшихся без попечения родителей, в том числе количество выпускников областных государственных профессиональных образовательных организаций
</t>
  </si>
  <si>
    <t xml:space="preserve">Количество выпускников государственных профессиональных образовательных организаций - детей-сирот и детей, оставшихся без попечения родителей, в том числе количество выпускников областных государственных профессиональных образовательных организаций
</t>
  </si>
  <si>
    <t xml:space="preserve">Предоставление полного государственного обеспечения и дополнительных гарантий по социальной поддержке детей-сирот и детей, оставшихся без попечения родителей, и лиц из числа детей-сирот и детей, оставшихся без попечения родителей,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
</t>
  </si>
  <si>
    <t>Среднегодовое число студентов государственных профессиональных образовательных организаций, находящихся на полном государственном обеспечении</t>
  </si>
  <si>
    <t xml:space="preserve">«Социальная поддержка граждан в Ивановской области»
</t>
  </si>
  <si>
    <t>Реализация государственной политики в интересах семьи и детей</t>
  </si>
  <si>
    <t xml:space="preserve">Предоставление мер государственной поддержки в связи с беременностью и родами, а также детям и семьям, имеющим детей
</t>
  </si>
  <si>
    <t xml:space="preserve">Доля детей в возрасте до трех лет, обеспеченных полноценным питанием, от общего количества детей в возрасте до трех лет, имеющих право на меру социальной поддержки
</t>
  </si>
  <si>
    <t xml:space="preserve">Формирование доступной среды жизнедеятельности для инвалидов и других маломобильных групп населения в Ивановской области
</t>
  </si>
  <si>
    <t xml:space="preserve">Адаптация объектов системы здравоохранения
</t>
  </si>
  <si>
    <t xml:space="preserve">Приобретение специального оборудования и транспортных средств, необходимых для облегчения проведения медицинских мероприятий для инвалидов, для областных учреждений здравоохранения
</t>
  </si>
  <si>
    <t>Доля областных учреждений здравоохранения, оборудованных с учетом потребностей инвалидов и других маломобильных групп населения, в общем количестве этих учреждений</t>
  </si>
  <si>
    <t xml:space="preserve">Обеспечение деятельности органов
государственной власти Ивановской области
</t>
  </si>
  <si>
    <t xml:space="preserve">Обеспечение деятельности исполнительных органов государственной власти Ивановской области
</t>
  </si>
  <si>
    <t>«Совершенствование институтов государственного управления и местного самоуправления Ивановской области»</t>
  </si>
  <si>
    <t>Развитие системы профессионального образования</t>
  </si>
  <si>
    <t>Количество обучающихся, получающих стипендию Президента Российской Федерации и Правительства Российской Федерации, обучающихся по очной форме обучения по образовательным программам среднего профессионального образования, имеющим государственную аккредитацию, соответствующим приоритетным направлениям модернизации и технологического развития экономики Российской Федерации, в профессиональных образовательных организациях Ивановской области</t>
  </si>
  <si>
    <t>Отчет о ходе реализации Программы, рублей
на ________________ 2016 года</t>
  </si>
  <si>
    <t>Справочно
Объем бюджетных ассигнований,
утвержденных 
Законом о бюджете</t>
  </si>
  <si>
    <t>ИТОГО бюджет ДЗО</t>
  </si>
  <si>
    <t>Обеспечение лиц, состоящих на диспансерном учете в ОБУЗ «Областной противотуберкулезный диспансер имени М.Б. Стоюнина», ежемесячным продуктовым набором на весь период курса противотуберкулезной терапии в амбулаторных условиях и в условиях дневных стационаров</t>
  </si>
  <si>
    <t>Иной межбюджетный трансферт бюджету территориального фонда обязательного медицинского  страхования Ивановской области на финансовое обеспечение мероприятий, направленных на проведение неонатального скрининга на 5 наследственных и врожденных заболеваний в части исследований и консультаций, осуществляемых медико-генетическими центрами (консультациями), а также медико-генетических исследований в соответствующих структурных подразделениях медицинских организаций</t>
  </si>
  <si>
    <t xml:space="preserve">Развитие дополнительного образования и реализация государственной молодежной политики
</t>
  </si>
  <si>
    <t>Социальная поддержка в сфере образования</t>
  </si>
  <si>
    <t>Предоставление мер государственной поддержки в связи с беременностью и родами, а также детям и семьям, имеющим детей</t>
  </si>
  <si>
    <t>Адаптация объектов системы здравоохранения</t>
  </si>
  <si>
    <t>Гражданская защита населения</t>
  </si>
  <si>
    <t>Гражданская оборона, защита населения и территорий Ивановской области от чрезвычайных ситуаций, поиск и спасение людей на водных объектах</t>
  </si>
  <si>
    <t xml:space="preserve">Обеспечение деятельности органов государственной власти Ивановской области
</t>
  </si>
  <si>
    <t>Реализация программ среднего профессионального образования и основных программ профессионального обучения</t>
  </si>
  <si>
    <t>Развитие профессионального образования</t>
  </si>
  <si>
    <t>ОБЛАСТНОЙ БЮДЖЕТ, ИТОГО</t>
  </si>
  <si>
    <t>ФЕДЕРАЛЬНЫЙ БЮДЖЕТ, ИТОГО</t>
  </si>
  <si>
    <t>здравоохранение ДЗО + ТФОМС</t>
  </si>
  <si>
    <t xml:space="preserve">Численность граждан, которые включены в Федеральный регистр лиц, имеющих право на получение государственной социальной помощи, и которые не отказались от социальной услуги в виде обеспечения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
</t>
  </si>
  <si>
    <t>мероприятие в стадии реализации</t>
  </si>
  <si>
    <t xml:space="preserve">Соответствие порядкам оказания медицинской помощи и на основе стандартов медицинской помощи
</t>
  </si>
  <si>
    <t>случаев лечения</t>
  </si>
  <si>
    <t>Единовременные компенсационные выплаты медицинским работникам в рамках исполнения судебных решений</t>
  </si>
  <si>
    <t>Наименование подпрограмм и направлений расходов, включенных в ТПГГ</t>
  </si>
  <si>
    <t>Раздел</t>
  </si>
  <si>
    <t xml:space="preserve">Специализированная медицинская помощь, оказываемая в стационарных условиях </t>
  </si>
  <si>
    <t>0903</t>
  </si>
  <si>
    <t>Высокотехнологичная медицинская помощь</t>
  </si>
  <si>
    <t>Оказание высокотехнологичной медицинской помощи</t>
  </si>
  <si>
    <t>Специализированная медицинская помощь, оказываемая в условиях дневного стационара</t>
  </si>
  <si>
    <t>Скорая специализированная медицинская помощь</t>
  </si>
  <si>
    <t>Оказание скорой специализированной медицинской помощи</t>
  </si>
  <si>
    <t>ПРОЧИЕ, в том числе:</t>
  </si>
  <si>
    <t>0901, 
0902,
0903</t>
  </si>
  <si>
    <t>0902,
0903</t>
  </si>
  <si>
    <t>ВСЕГО БЮДЖЕТ В ТПГГ</t>
  </si>
  <si>
    <t>СМП</t>
  </si>
  <si>
    <t>Круглосуточный стационар</t>
  </si>
  <si>
    <t>АПП</t>
  </si>
  <si>
    <t>Дневной стационар</t>
  </si>
  <si>
    <t>ВМП</t>
  </si>
  <si>
    <t xml:space="preserve">Прочие </t>
  </si>
  <si>
    <t>Федеральный подушевой по бюджету</t>
  </si>
  <si>
    <t>Расчетная стоимость по бюджету</t>
  </si>
  <si>
    <t>Дефицит ТПГГ (за минусом МБТ бюджету ТФОМС), тыс.руб.</t>
  </si>
  <si>
    <t>Дефицин в %</t>
  </si>
  <si>
    <t>Расходы ДЗО, не входящие в ТПГГ</t>
  </si>
  <si>
    <t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
 Медицинские колледжи</t>
  </si>
  <si>
    <t>ТПГГ</t>
  </si>
  <si>
    <t>БЮДЖЕТ ДЗО</t>
  </si>
  <si>
    <t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
ОБУЗ "ЦБСПИДиИЗ"</t>
  </si>
  <si>
    <t>Первичная медико-санитарная помощь, оказываемая в амбулаторных условиях</t>
  </si>
  <si>
    <t>Центр СПИД</t>
  </si>
  <si>
    <t>09002</t>
  </si>
  <si>
    <t>ДЗО</t>
  </si>
  <si>
    <t>ИТОГО</t>
  </si>
  <si>
    <t>ТПГГ Ивановской области (областной бюджет)</t>
  </si>
  <si>
    <t>тыс.руб.</t>
  </si>
  <si>
    <t xml:space="preserve">Территориальный подушевой по бюджету </t>
  </si>
  <si>
    <t>Расчетная стоимость (консолидированный бюджет)</t>
  </si>
  <si>
    <t>Утвержденная стоимость (консолидированный бюджет), млн. руб.</t>
  </si>
  <si>
    <t>Утвержденная стоимость на 1 жителя, руб.</t>
  </si>
  <si>
    <t>Расчетная стоимость на 1 жителя, руб.</t>
  </si>
  <si>
    <t>приобретение санитарного транспорта, всего</t>
  </si>
  <si>
    <t xml:space="preserve">приобретение иного медицинского оборудования </t>
  </si>
  <si>
    <t xml:space="preserve">Приобретение оборудования для учреждений  системы ОМС </t>
  </si>
  <si>
    <t xml:space="preserve">Приобретение оборудования для учреждений  системы ОМС, в том числе: </t>
  </si>
  <si>
    <t>Финансовое обеспечение закупок диагностических средств для выявления и мониторинга лечения лиц, инфицированных вирусами иммунодефицита человека и гепатитов В и С</t>
  </si>
  <si>
    <t>0170171080</t>
  </si>
  <si>
    <t>0170171090</t>
  </si>
  <si>
    <t>Исполнение судебных актов по лекарственным препаратам</t>
  </si>
  <si>
    <t xml:space="preserve">Численность лиц, установленных в части 1 статьи 3 Закона Ивановской области от 12.11.2012 N 93-ОЗ "Об отдельных вопросах организации охраны здоровья граждан в Ивановской области", имеющих право на получение мер социальной поддержки
</t>
  </si>
  <si>
    <t xml:space="preserve">Численность лиц, состоящих на диспансерном учете в ОБУЗ "Областной противотуберкулезный диспансер имени
М.Б. Стоюнина", обеспечиваемых ежемесячным продуктовым набором на весь период курса противотуберкулезной терапии в амбулаторных условиях
</t>
  </si>
  <si>
    <t xml:space="preserve">Численность лиц, состоящих на диспансерном учете в ОБУЗ "Областной противотуберкулезный диспансер имени
М.Б. Стоюнина", обеспечиваемых ежемесячным продуктовым набором на весь период курса противотуберкулезной терапии в условиях дневных стационаров
</t>
  </si>
  <si>
    <t>Компенсация стоимости проезда лицам,направленным областными учреждениями здравоохранения на обязательное обследование(консультацию) или лечение в областные противотуберкулезные учреждения или их подразделения до места обследования (консультации) или лечения (туда и обратно) на транспорте городского, пригородного и межмуниципального сообщения</t>
  </si>
  <si>
    <t>02 2 01 00460</t>
  </si>
  <si>
    <t xml:space="preserve">Население по прогнозу Росстата на 2017 (2018,2019) </t>
  </si>
  <si>
    <t>ИТОГО НЕ ВОШЛО В ТПГГ</t>
  </si>
  <si>
    <t>«Совершенствование системы оказания медицинской помощи больным прочими заболеваниями»</t>
  </si>
  <si>
    <t>01 3 04 R3820</t>
  </si>
  <si>
    <t>Реализация мероприятий по обеспечению лекарственными препаратами, диагностическими средствами при оказании специализированной, включая высокотехнологичную, медицинской помощи по прочим заболеваниям, а также мероприятий по профилактике этих заболеваний</t>
  </si>
  <si>
    <t>Финансовое обеспечение паллиативной медицинской помощи</t>
  </si>
  <si>
    <t>01 8 01 71100</t>
  </si>
  <si>
    <t>Обязательное медицинское страхование неработающего населения</t>
  </si>
  <si>
    <t>Компенсация стоимости проезда до места обследования (консультации) или лечения (туда и обратно) на всех видах городского пассажирского транспорта (за исключением такси), на автомобильном транспорте общего пользования (за исключением такси) пригородного и междугородного сообщения, на железнодорожном транспорте (в общем, плацкартном вагоне пассажирского поезда) лицам, установленным частью 1 статьи 3 Закона Ивановской области от 12.11.2012 № 93-ОЗ «Об отдельных вопросах организации охраны здоровья граждан в Ивановской области»</t>
  </si>
  <si>
    <t xml:space="preserve">Число жалоб, поданных на несоответствие помещений медицинских организаций санитарным правилам и строительным нормам, признанных в установленном порядке обоснованными
</t>
  </si>
  <si>
    <t xml:space="preserve">Доля учреждений здравоохранения, которые дооснащены в соответствующем году оборудованием, в общем количестве приоритетных медицинских организаций, в которых оказываются медицинские услуги
</t>
  </si>
  <si>
    <t>Закупка реактивов и расходных материалов, необходимых для функционирования комплекса генетического оборудования ОБУЗ «Бюро судебно-медицинской экспертизы Ивановской области»</t>
  </si>
  <si>
    <t xml:space="preserve">Обеспеченность учреждения здравоохранения реактивами и расходными материалами в целях функционирования генетического комплекса
</t>
  </si>
  <si>
    <t>Финансовое обеспечение закупок диагностических средств для выявления, определения чувствительности микобактерии туберкулеза и мониторинга лечения лиц, больных туберкулезом с множественной лекарственной устойчивостью возбудителя, в соответствии с перечнем, утвержденным Министерством здравоохранения Российской Федерации, а также медицинских изделий в соответствии со стандартом оснащения, предусмотренным порядком оказания медицинской помощи больным туберкулезом</t>
  </si>
  <si>
    <t>Финансовое обеспечение закупок диагностических средств для выявления и мониторинга лечения лиц, инфицированных вирусами иммунодефицита человека, в том числе в сочетании с вирусами гепатитов B и (или) C</t>
  </si>
  <si>
    <t>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тканей, включающие в себя хранение лекарственных препаратов, доставку лекарственных препаратов до аптечных организаций, создание и сопровождение электронных баз данных учета и движения лекарственных препаратов в пределах Ивановской области</t>
  </si>
  <si>
    <t>Финансовое обеспечение реализации мероприятий по профилактике ВИЧ-инфекции и гепатитов B и C.</t>
  </si>
  <si>
    <t xml:space="preserve">Соотношение средней заработной платы среднего медицинского (фармацевтического) персонала (персонала, обеспечивающего предоставление медицинских услуг) и средней заработной платы в субъектах Российской Федерации в 2012 - 2018 годах </t>
  </si>
  <si>
    <t>Обеспечение детей с рождения до 18 лет, больных сахарным диабетом, сахаропонижающими препаратами, средствами индивидуального контроля, средствами введения (шприц-ручки, шприцы инсулиновые и иглы к ним)</t>
  </si>
  <si>
    <t>Обеспечение лиц, страдающих заболеваниями, включенными в перечень жизнеугрожающих и хронических прогрессирующих редких (орфанных) заболеваний, приводящих к сокращению продолжительности жизни или инвалидности, лекарственными препаратами и специализированными продуктами лечебного питания</t>
  </si>
  <si>
    <t>Обеспечение граждан лекарственными препаратами и медицинскими изделиями в соответствии с группами населения и категориями заболеваний, указанными в Перечне, утвержденном приложением 1 к постановлению Правительства Российской Федерации от 30.07.1994 № 890 «О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назначения», за исключением заболеваний, при лечении которых обеспечение лекарственными препаратами в соответствии с федеральным законодательством осуществляется за счет бюджетных ассигнований, предусмотренных в федеральном бюджете</t>
  </si>
  <si>
    <t>Обеспечение граждан лекарственными препаратами по рецептам врачей с 50-процентной скидкой в соответствии с группами населения, указанными в Перечне, утвержденном приложением 2 к постановлению Правительства Российской Федерации от 30.07.1994 № 890 "О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назначения", за исключением лечения заболеваний, по которым обеспечение лекарственными препаратами в соответствии с федеральным законодательством осуществляется за счет бюджетных ассигнований, предусмотренных в федеральном бюджете</t>
  </si>
  <si>
    <t>Удельный вес медицинских организаций, в которых проведены работы по капитальному ремонту, по отношению к общему количеству медицинских организаций</t>
  </si>
  <si>
    <t>2. Число посещений с профилактической и иными целями, в т.ч. по профилям:</t>
  </si>
  <si>
    <t>2.1. Число посещений с профилактической и иными целями. Психиатрия</t>
  </si>
  <si>
    <t>2.2. Число посещений с профилактической и иными целями. Фтизиатрия</t>
  </si>
  <si>
    <t>2.3. Число посещений с профилактической и иными целями. Наркология</t>
  </si>
  <si>
    <t>2.4. Число посещений с профилактической и иными целями. Венерология</t>
  </si>
  <si>
    <t>2.5. Число посещений с профилактической и иными целями. Профпатология</t>
  </si>
  <si>
    <t>1. Число посещений, в т.ч. по профилям:</t>
  </si>
  <si>
    <t>1.1. Число посещений. Психиатрия</t>
  </si>
  <si>
    <t>1.2. Число посещений. Фтизиатрия</t>
  </si>
  <si>
    <t>1.3. Число посещений. Наркология</t>
  </si>
  <si>
    <t>1.4. Число посещений. Венерология</t>
  </si>
  <si>
    <t>1.5. Число посещений. Профпатология</t>
  </si>
  <si>
    <t>3. Число посещений по поводу заболевания, в т.ч. по профилям:</t>
  </si>
  <si>
    <t>3.1. Число посещений по поводу заболевания. Психиатрия</t>
  </si>
  <si>
    <t>3.2. Число посещений по поводу заболевания. Фтизиатрия</t>
  </si>
  <si>
    <t>3.3. Число посещений по поводу заболевания. Наркология</t>
  </si>
  <si>
    <t>3.4. Число посещений по поводу заболевания. Венерология</t>
  </si>
  <si>
    <t>4. Число обращений по поводу заболевания, в т.ч. по профилям:</t>
  </si>
  <si>
    <t>4.1 Число обращений по поводу заболевания. Психиатрия</t>
  </si>
  <si>
    <t>4.2 Число обращений по поводу заболевания. Фтизиатрия</t>
  </si>
  <si>
    <t>4.3 Число обращений по поводу заболевания. Наркология</t>
  </si>
  <si>
    <t>4.4 Число обращений по поводу заболевания. Венерология</t>
  </si>
  <si>
    <t>Соответствие порядку оказания медицинской помощи по профилю "патологическая анатомия"</t>
  </si>
  <si>
    <t>Случаев лечения, в т.ч. по профилям:</t>
  </si>
  <si>
    <t>Случаев лечения. Психиатрия</t>
  </si>
  <si>
    <t>Случаев лечения. Фтизиатрия</t>
  </si>
  <si>
    <t>Случаев лечения. Психиатрия-наркология (в части наркологии)</t>
  </si>
  <si>
    <t>Охват населения профилактическими осмотрами на туберкулез</t>
  </si>
  <si>
    <t>Доля рецептов, находящихся на отсроченном обеспечении</t>
  </si>
  <si>
    <t xml:space="preserve">процент </t>
  </si>
  <si>
    <t xml:space="preserve">Охват медицинским освидетельствованием на ВИЧ-инфекцию населения субъекта Российской Федерации </t>
  </si>
  <si>
    <t>процент</t>
  </si>
  <si>
    <t>Уровень информированности населения в возрасте 18 - 49 лет по вопросам ВИЧ-инфекции</t>
  </si>
  <si>
    <t xml:space="preserve">Количество государственных и муниципальных учреждений социальной сферы, находящихся в ведении субъекта Российской Федерации и муниципальных образований, в которых действуют попечительские советы с участием в их работе заинтересованных социально ориентированных некоммерческих организаций </t>
  </si>
  <si>
    <t>единица</t>
  </si>
  <si>
    <t xml:space="preserve">Финансовое обеспечение паллиативной медицинской помощи
</t>
  </si>
  <si>
    <t xml:space="preserve">Количество информационных ресурсов и баз данных
</t>
  </si>
  <si>
    <t xml:space="preserve">Соответствие порядку организации и производства судебно-медицинских экспертиз
</t>
  </si>
  <si>
    <t>Численность детей с рождения до 18 лет, больных сахарным диабетом</t>
  </si>
  <si>
    <t>Численность лиц, страдающих заболеваниями, включенными в перечень жизнеугрожающих и хронических прогрессирующих редких (орфанных) заболеваний, приводящих к сокращению продолжительности жизни или инвалидности</t>
  </si>
  <si>
    <t>Численность граждан, обеспечиваемых лекарственными препаратами и медицинскими изделиями в соответствии с частью 1 статьи 4 Закона Ивановской области от 12.11.2012 № 93-ОЗ «Об отдельных вопросах организации охраны здоровья граждан в Ивановской области»</t>
  </si>
  <si>
    <t>Численность граждан, обеспечиваемых лекарственными препаратами по рецептам врачей с 50-процентной скидкой в соответствии с частью 1.1 статьи 4 Закона Ивановской области от 12.11.2012 № 93-ОЗ «Об отдельных вопросах организации охраны здоровья граждан в Ивановской области»</t>
  </si>
  <si>
    <t xml:space="preserve">Обязательное медицинское страхование неработающего населения
</t>
  </si>
  <si>
    <t xml:space="preserve">Обеспечение государственных учреждений здравоохранения Ивановской области иммунобиологическими лекарственными препаратами для иммунопрофилактики в целях проведения профилактических прививок, включенных в календарь профилактических прививок по эпидемическим показаниям
</t>
  </si>
  <si>
    <t>Случаев госпитализации, в т.ч. по профилям:</t>
  </si>
  <si>
    <t>Случаев госпитализации. Психиатрия</t>
  </si>
  <si>
    <t>Случаев госпитализации. Фтизиатрия</t>
  </si>
  <si>
    <t>Случаев госпитализации. Психиатрия-наркология (в части наркологии)</t>
  </si>
  <si>
    <t>Случаев госпитализации. Дерматовенерология (в части венерологии)</t>
  </si>
  <si>
    <t xml:space="preserve">Количество вскрытий
</t>
  </si>
  <si>
    <t xml:space="preserve">Количество человеко-часов по реализации дополнительных профессиональных программ повышения квалификации
</t>
  </si>
  <si>
    <t xml:space="preserve">Количество человеко-часов по реализации дополнительных профессиональных образовательных программ профессиональной переподготовки
</t>
  </si>
  <si>
    <t>чел.-час.</t>
  </si>
  <si>
    <t xml:space="preserve">Финансовое обеспечение мероприятий, направленных на проведение неонатального скрининга на 5 наследственных и врожденных заболеваний в части исследований и консультаций, осуществляемых медико-генетическими центрами (консультациями), а также медико-генетических исследований в соответствующих структурных подразделениях медицинских организаций
</t>
  </si>
  <si>
    <t xml:space="preserve">Финансовое обеспечение мероприятий, направленных на проведение пренатальной (дородовой) диагностики нарушений развития ребенка у беременных женщин
</t>
  </si>
  <si>
    <t xml:space="preserve">Повышение квалификации и профессиональная переподготовка врачей организаций здравоохранения Ивановской области
</t>
  </si>
  <si>
    <t xml:space="preserve">Количество подготовленных специалистов по программам дополнительного медицинского и фармацевтического образования в государственных образовательных учреждениях высшего профессионального образования
</t>
  </si>
  <si>
    <t xml:space="preserve">Количество подготовленных специалистов по программам дополнительного медицинского и фармацевтического образования в государственных образовательных учреждениях дополнительного профессионального образования
</t>
  </si>
  <si>
    <t xml:space="preserve">Количество подготовленных специалистов по программам послевузовского медицинского и фармацевтического образования в государственных образовательных учреждениях дополнительного профессионального образования
</t>
  </si>
  <si>
    <t xml:space="preserve">Количество подготовленных специалистов по программам дополнительного медицинского и фармацевтического образования в государственных образовательных учреждениях среднего профессионального образования
</t>
  </si>
  <si>
    <t xml:space="preserve">Доля специалистов из числа административно-управленческого персонала организаций государственной системы здравоохранения Ивановской области по вопросам совершенствования организации управления здравоохранением
</t>
  </si>
  <si>
    <t xml:space="preserve">Доля медицинских и фармацевтических специалистов, обучавшихся в рамках целевой подготовки для нужд Ивановской области, трудоустроившихся после завершения обучения в учреждения здравоохранения, подведомственные Департаменту здравоохранения Ивановской области
</t>
  </si>
  <si>
    <t xml:space="preserve">Доля аккредитованных специалистов
</t>
  </si>
  <si>
    <t xml:space="preserve">Информационная открытость органов
государственной власти Ивановской области
и общественные связи
</t>
  </si>
  <si>
    <t xml:space="preserve">Общественный контроль и экспертная поддержка органов государственной власти Ивановской области
</t>
  </si>
  <si>
    <t xml:space="preserve">Обеспечение деятельности общественных советов при исполнительных органах государственной власти Ивановской области
</t>
  </si>
  <si>
    <t xml:space="preserve">Число общественных советов при исполнительных органах государственной власти Ивановской области
</t>
  </si>
  <si>
    <t xml:space="preserve">единиц
</t>
  </si>
  <si>
    <t>Закупка аллергена туберкулезного для проведения иммунодиагностики</t>
  </si>
  <si>
    <t>Число пациенто-дней, в т.ч. по профилям:</t>
  </si>
  <si>
    <t>Число пациенто-дней. Психиатрия</t>
  </si>
  <si>
    <t>Число пациенто-дней. Фтизиатрия</t>
  </si>
  <si>
    <t>Число пациенто-дней. Психиатрия-наркология (в части наркологии)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</si>
  <si>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</si>
  <si>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Число пациентов, в т.ч. по профилям:</t>
  </si>
  <si>
    <t>Число пациентов. Нейрохирургия</t>
  </si>
  <si>
    <t>Число пациентов. Сердечно-сосудистая хирургия</t>
  </si>
  <si>
    <t>Число пациентов. Травматология и ортопедия</t>
  </si>
  <si>
    <t>Число пациентов. Офтальмология</t>
  </si>
  <si>
    <t>Число пациентов. Урология</t>
  </si>
  <si>
    <t>Число пациентов. Онкология</t>
  </si>
  <si>
    <t>Закупка лекарственных препаратов, необходимых для лечения больных с туберкулезом с широкой лекарственной устойчивостью</t>
  </si>
  <si>
    <t xml:space="preserve">Смертность от туберкулеза
</t>
  </si>
  <si>
    <t xml:space="preserve">на 100 тыс. населения
</t>
  </si>
  <si>
    <t>Число посещений. ВИЧ-инфекция</t>
  </si>
  <si>
    <t>Число посещений с профилактической и иными целями</t>
  </si>
  <si>
    <t>Число посещений по поводу заболевания</t>
  </si>
  <si>
    <t>Число обращений по поводу заболевания</t>
  </si>
  <si>
    <t xml:space="preserve">Соотношение средней заработной платы младшего медицинского персонала (персонала, обеспечивающего предоставление медицинских услуг) и средней заработной платы в субъектах Российской Федерации в 2012 - 2018 годах (агрегированные значения)
</t>
  </si>
  <si>
    <t>«Проект «Создание системы информационного взаимодействия по мониторингу демографической ситуации в Ивановской области».</t>
  </si>
  <si>
    <t>Внедрение в медицинских организациях Ивановской области информационной системы учета демографической ситуации в регионе</t>
  </si>
  <si>
    <t xml:space="preserve">Доля медицинских организаций, в которых выполнена настройка и внедрение комплексной медицинской информационной системы мониторинга смертности
</t>
  </si>
  <si>
    <t xml:space="preserve">Доля медицинских организаций, в которых выполнена настройка и внедрение комплексной медицинской информационной системы мониторинга рождаемости
</t>
  </si>
  <si>
    <t>Компенсация стоимости проезда до места обследования (консультации) или лечения (туда и обратно) на всех видах городского пассажирского транспорта (за исключением такси), на автомобильном транспорте общего пользования (за исключением такси) пригородного и междугородного сообщения, на железнодорожном транспорте (в общем, плацкартном вагоне пассажирского поезда) лицам, установленным частью 1 статьи 3 Закона Ивановской области от 12.11.2012 № 93-ОЗ «Об отдельных вопросах организации охраны здоровья граждан в Ивановской области"</t>
  </si>
  <si>
    <t xml:space="preserve">Организация выполнения Территориальной программы государственных гарантий бесплатного оказания гражданам медицинской помощи на территории Ивановской области за счет средств обязательного медицинского страхования в рамках базовой программы обязательного медицинского страхования
</t>
  </si>
  <si>
    <t xml:space="preserve">Финансовое обеспечение организации обязательного медицинского страхования на территориях субъектов Российской Федерации
</t>
  </si>
  <si>
    <t xml:space="preserve">Дополнительное финансовое обеспечение организации обязательного медицинского страхования на территории Ивановской области
</t>
  </si>
  <si>
    <t xml:space="preserve"> Объем посещений с профилактическими и иными целями
</t>
  </si>
  <si>
    <t xml:space="preserve"> Объем посещений в неотложной форме
</t>
  </si>
  <si>
    <t xml:space="preserve"> Объем обращений по заболеванию
</t>
  </si>
  <si>
    <t xml:space="preserve"> Количество вызовов для оказания скорой медицинской помощи (за исключением специализированной (санитарно-авиационной) скорой медицинской помощи)
</t>
  </si>
  <si>
    <t xml:space="preserve">Единовременные компенсационные выплаты медицинским работникам (врачам, фельдшерам) в возрасте до 50 лет, прибывшим (переехавшим) на работу в сельские населенные пункты, либо рабочие поселки, либо поселки городского типа, либо города с населением 
до 50 тыс. человек
</t>
  </si>
  <si>
    <t>Количество медицинских работников, привлеченных для работы в сельских населенных пунктах, либо рабочих поселках, либо поселках городского типа Ивановской области</t>
  </si>
  <si>
    <t>Доля медицинских работников, которым фактически предоставлены единовременные компенсационные выплаты, в общей численности медицинских работников, которым запланировано предоставить указанные выплаты</t>
  </si>
  <si>
    <t xml:space="preserve">«Осуществление бесперебойного и полного обеспечения донорской кровью и (или) ее компонентами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области»
</t>
  </si>
  <si>
    <t>случаев госпитализации</t>
  </si>
  <si>
    <t>обращений</t>
  </si>
  <si>
    <t>число вызовов</t>
  </si>
  <si>
    <t>внебюджетное финансирования</t>
  </si>
  <si>
    <t xml:space="preserve">Организация и проведение мероприятий, посвященных 100-летию со дня образования Иваново-Вознесенской губернии
</t>
  </si>
  <si>
    <t xml:space="preserve">Искусство
</t>
  </si>
  <si>
    <t xml:space="preserve">Развитие культуры и туризма
Ивановской области
</t>
  </si>
  <si>
    <t xml:space="preserve">Проведение мероприятий, связанных с государственными праздниками и памятными датами
</t>
  </si>
  <si>
    <t xml:space="preserve">Количество проведенных мероприятий
</t>
  </si>
  <si>
    <t>«Развитие культуры и туризма Ивановской области»</t>
  </si>
  <si>
    <t xml:space="preserve">Численность государственных гражданских служащих центральных исполнительных органов государственной власти Ивановской области
</t>
  </si>
  <si>
    <t>«Обеспечение безопасности граждан и профилактика правонарушений в Ивановской области»</t>
  </si>
  <si>
    <t xml:space="preserve">Организация и проведение комплекса мероприятий по антиалкогольной политике
</t>
  </si>
  <si>
    <t xml:space="preserve">Борьба с преступностью и обеспечение безопасности граждан
</t>
  </si>
  <si>
    <t xml:space="preserve">Обеспечение
общественного порядка и профилактика правонарушений
</t>
  </si>
  <si>
    <t xml:space="preserve">Потребление алкогольной продукции (в перерасчете на абсолютный алкоголь)
</t>
  </si>
  <si>
    <t>7,17*</t>
  </si>
  <si>
    <t>*-данные за 2017 год (годовой показатель)</t>
  </si>
  <si>
    <t xml:space="preserve">Разработка проектно-сметной документации на капитальный ремонт областных учреждений здравоохранения
</t>
  </si>
  <si>
    <t xml:space="preserve">Удельный вес медицинских организаций, которым необходимо разработать проектно-сметную документацию с целью проведения работ по капитальному ремонту в текущем году, по отношению к общему количеству медицинских организаций
</t>
  </si>
  <si>
    <t xml:space="preserve">Приобретение санитарного автотранспорта
</t>
  </si>
  <si>
    <t xml:space="preserve">Оснащенность санитарным транспортом в целях доставки пациентов из населенных пунктов с низкой транспортной доступностью в межрайонные центры, в специализированные учреждения здравоохранения Ивановской области в соответствующем году
</t>
  </si>
  <si>
    <t xml:space="preserve">Развитие материально-технической базы детских поликлиник и детских поликлинических отделений медицинских организаций
</t>
  </si>
  <si>
    <t xml:space="preserve">Снижение младенческой смертности
</t>
  </si>
  <si>
    <t xml:space="preserve">Снижение детской смертности (в возрасте 0 - 4 года)
</t>
  </si>
  <si>
    <t xml:space="preserve">случаев на 1 тыс. новорожденных, родившихся живыми
</t>
  </si>
  <si>
    <t xml:space="preserve">Приобретение передвижных медицинских комплексов для оказания медицинской помощи жителям населенных пунктов с численностью населения до 100 человек
</t>
  </si>
  <si>
    <t xml:space="preserve">Увеличение в 2019 году числа посещений сельскими жителями передвижных медицинских комплексов
</t>
  </si>
  <si>
    <t xml:space="preserve">Приобретение модульных конструкций врачебных амбулаторий, фельдшерских и фельдшерско-акушерских пунктов для населенных пунктов с численностью населения от 101 до 2000 человек
</t>
  </si>
  <si>
    <t xml:space="preserve">Снижение смертности сельского населения (число умерших на 1000 человек сельского населения)
</t>
  </si>
  <si>
    <t xml:space="preserve">Приобретение программного комплекса "Региональная медицинская информационная система
</t>
  </si>
  <si>
    <t xml:space="preserve">Доля медицинских организаций, в которых выполнена настройка и внедрение программного комплекса "Региональная медицинская информационная система"
</t>
  </si>
  <si>
    <t>мероприятие реализовано</t>
  </si>
  <si>
    <t xml:space="preserve">Развитие государственной гражданской службы и наградной системы Ивановской области
</t>
  </si>
  <si>
    <t>Подготовка кадров для государственной гражданской службы Ивановской области</t>
  </si>
  <si>
    <t xml:space="preserve">Организация профессионального образования и дополнительного профессионального образования лиц, замещающих государственные должности Ивановской области, профессионального развития государственных гражданских служащих Ивановской области
</t>
  </si>
  <si>
    <t>Число государственных гражданскх служащих Ивановской области, замещающих должности в аппарате Правительства Ивановской области, центральных исполнительных органах государственной власти Ивановской области и их территориальных органах, участвующих в мероприятиях по профессиональному развитию, в том числе прошедших повышение квалификации</t>
  </si>
  <si>
    <t xml:space="preserve">Модернизация учебно-материальной базы областных государственных профессиональных образовательных организаций
</t>
  </si>
  <si>
    <t xml:space="preserve">Количество приобретенного оборудования </t>
  </si>
  <si>
    <t xml:space="preserve">Развитие паллиативной медицинской помощи
</t>
  </si>
  <si>
    <t xml:space="preserve">Обеспечение расчетной потребности в инвазивных и неинвазивных наркотических лекарственных препаратах в Ивановской области
</t>
  </si>
  <si>
    <t xml:space="preserve">Обеспечение медицинских организаций, оказывающих паллиативную медицинскую помощь, медицинскими изделиями, в том числе для использования на дому, в соответствии с порядками оказания паллиативной медицинской помощи взрослому населению и детям
</t>
  </si>
  <si>
    <t xml:space="preserve">Обеспечение лиц, нуждающихся в паллиативной медицинской помощи на дому, медицинскими изделиями для искусственной вентиляции легких
</t>
  </si>
  <si>
    <t xml:space="preserve">процентов
</t>
  </si>
  <si>
    <t xml:space="preserve">Гражданская защита населения и пожарная безопасность Ивановской области
</t>
  </si>
  <si>
    <t xml:space="preserve">Организация автоматизированных рабочих мест и создание сети связи и передачи данных Системы-112.
</t>
  </si>
  <si>
    <t>Количество приобретенных автоматизированных рабочих мест</t>
  </si>
  <si>
    <t xml:space="preserve">Создание и содержание центра обработки вызовов Системы-112  
</t>
  </si>
  <si>
    <t>Отчет о ходе реализации Программы, рублей
на 01.07.2018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</si>
</sst>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8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4" fontId="1" fillId="0" borderId="0" xfId="0" applyNumberFormat="1" applyFont="1"/>
    <xf numFmtId="49" fontId="8" fillId="0" borderId="20" xfId="0" applyNumberFormat="1" applyFont="1" applyBorder="1" applyAlignment="1">
      <alignment horizontal="left" vertical="top" wrapText="1"/>
    </xf>
    <xf numFmtId="0" fontId="6" fillId="5" borderId="12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49" fontId="7" fillId="6" borderId="12" xfId="0" applyNumberFormat="1" applyFont="1" applyFill="1" applyBorder="1" applyAlignment="1">
      <alignment horizontal="left" vertical="top" wrapText="1"/>
    </xf>
    <xf numFmtId="49" fontId="8" fillId="5" borderId="20" xfId="0" applyNumberFormat="1" applyFont="1" applyFill="1" applyBorder="1" applyAlignment="1">
      <alignment horizontal="left" vertical="top" wrapText="1" shrinkToFit="1"/>
    </xf>
    <xf numFmtId="1" fontId="4" fillId="0" borderId="12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4" fontId="4" fillId="6" borderId="12" xfId="0" applyNumberFormat="1" applyFont="1" applyFill="1" applyBorder="1" applyAlignment="1">
      <alignment vertical="top"/>
    </xf>
    <xf numFmtId="4" fontId="4" fillId="0" borderId="28" xfId="0" applyNumberFormat="1" applyFont="1" applyBorder="1" applyAlignment="1">
      <alignment vertical="top"/>
    </xf>
    <xf numFmtId="49" fontId="6" fillId="0" borderId="12" xfId="0" applyNumberFormat="1" applyFont="1" applyFill="1" applyBorder="1" applyAlignment="1">
      <alignment horizontal="left" vertical="top" wrapText="1" shrinkToFit="1"/>
    </xf>
    <xf numFmtId="49" fontId="7" fillId="0" borderId="12" xfId="0" applyNumberFormat="1" applyFont="1" applyFill="1" applyBorder="1" applyAlignment="1">
      <alignment horizontal="left" vertical="top" wrapText="1"/>
    </xf>
    <xf numFmtId="4" fontId="4" fillId="0" borderId="5" xfId="0" applyNumberFormat="1" applyFont="1" applyBorder="1" applyAlignment="1">
      <alignment vertical="top"/>
    </xf>
    <xf numFmtId="49" fontId="8" fillId="5" borderId="28" xfId="0" applyNumberFormat="1" applyFont="1" applyFill="1" applyBorder="1" applyAlignment="1">
      <alignment horizontal="left" vertical="top" wrapText="1" shrinkToFit="1"/>
    </xf>
    <xf numFmtId="49" fontId="7" fillId="0" borderId="12" xfId="0" applyNumberFormat="1" applyFont="1" applyFill="1" applyBorder="1" applyAlignment="1">
      <alignment horizontal="left" vertical="top" wrapText="1" shrinkToFit="1"/>
    </xf>
    <xf numFmtId="49" fontId="8" fillId="5" borderId="11" xfId="0" applyNumberFormat="1" applyFont="1" applyFill="1" applyBorder="1" applyAlignment="1">
      <alignment horizontal="left" vertical="top" wrapText="1" shrinkToFit="1"/>
    </xf>
    <xf numFmtId="49" fontId="8" fillId="5" borderId="25" xfId="0" applyNumberFormat="1" applyFont="1" applyFill="1" applyBorder="1" applyAlignment="1">
      <alignment horizontal="left" vertical="top" wrapText="1" shrinkToFit="1"/>
    </xf>
    <xf numFmtId="49" fontId="8" fillId="0" borderId="25" xfId="0" applyNumberFormat="1" applyFont="1" applyBorder="1" applyAlignment="1">
      <alignment horizontal="left" vertical="top" wrapText="1"/>
    </xf>
    <xf numFmtId="49" fontId="8" fillId="5" borderId="28" xfId="0" applyNumberFormat="1" applyFont="1" applyFill="1" applyBorder="1" applyAlignment="1">
      <alignment vertical="top" wrapText="1"/>
    </xf>
    <xf numFmtId="49" fontId="7" fillId="0" borderId="12" xfId="0" applyNumberFormat="1" applyFont="1" applyFill="1" applyBorder="1" applyAlignment="1">
      <alignment vertical="top" wrapText="1"/>
    </xf>
    <xf numFmtId="4" fontId="4" fillId="0" borderId="12" xfId="0" applyNumberFormat="1" applyFont="1" applyFill="1" applyBorder="1" applyAlignment="1">
      <alignment vertical="top"/>
    </xf>
    <xf numFmtId="49" fontId="8" fillId="5" borderId="23" xfId="0" applyNumberFormat="1" applyFont="1" applyFill="1" applyBorder="1" applyAlignment="1">
      <alignment horizontal="left" vertical="top" wrapText="1" shrinkToFit="1"/>
    </xf>
    <xf numFmtId="49" fontId="5" fillId="5" borderId="16" xfId="0" applyNumberFormat="1" applyFont="1" applyFill="1" applyBorder="1" applyAlignment="1">
      <alignment horizontal="left" vertical="top" wrapText="1" shrinkToFit="1"/>
    </xf>
    <xf numFmtId="49" fontId="8" fillId="5" borderId="16" xfId="0" applyNumberFormat="1" applyFont="1" applyFill="1" applyBorder="1" applyAlignment="1">
      <alignment horizontal="left" vertical="top" wrapText="1" shrinkToFit="1"/>
    </xf>
    <xf numFmtId="49" fontId="8" fillId="5" borderId="17" xfId="0" applyNumberFormat="1" applyFont="1" applyFill="1" applyBorder="1" applyAlignment="1">
      <alignment horizontal="left" vertical="top" wrapText="1" shrinkToFit="1"/>
    </xf>
    <xf numFmtId="4" fontId="4" fillId="0" borderId="17" xfId="0" applyNumberFormat="1" applyFont="1" applyFill="1" applyBorder="1" applyAlignment="1">
      <alignment vertical="top"/>
    </xf>
    <xf numFmtId="49" fontId="8" fillId="5" borderId="12" xfId="0" applyNumberFormat="1" applyFont="1" applyFill="1" applyBorder="1" applyAlignment="1">
      <alignment horizontal="left" vertical="top" wrapText="1" shrinkToFit="1"/>
    </xf>
    <xf numFmtId="49" fontId="8" fillId="5" borderId="12" xfId="0" applyNumberFormat="1" applyFont="1" applyFill="1" applyBorder="1" applyAlignment="1">
      <alignment vertical="top" wrapText="1" shrinkToFit="1"/>
    </xf>
    <xf numFmtId="0" fontId="7" fillId="2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49" fontId="6" fillId="0" borderId="12" xfId="0" applyNumberFormat="1" applyFont="1" applyFill="1" applyBorder="1" applyAlignment="1">
      <alignment horizontal="center" vertical="top" wrapText="1" shrinkToFit="1"/>
    </xf>
    <xf numFmtId="49" fontId="7" fillId="0" borderId="12" xfId="0" applyNumberFormat="1" applyFont="1" applyFill="1" applyBorder="1" applyAlignment="1">
      <alignment horizontal="center" vertical="top" wrapText="1" shrinkToFit="1"/>
    </xf>
    <xf numFmtId="0" fontId="4" fillId="2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49" fontId="6" fillId="5" borderId="11" xfId="0" applyNumberFormat="1" applyFont="1" applyFill="1" applyBorder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4" fontId="7" fillId="2" borderId="5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4" fontId="7" fillId="3" borderId="5" xfId="0" applyNumberFormat="1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9" fontId="7" fillId="5" borderId="16" xfId="0" applyNumberFormat="1" applyFont="1" applyFill="1" applyBorder="1" applyAlignment="1">
      <alignment horizontal="center" vertical="top" wrapText="1" shrinkToFit="1"/>
    </xf>
    <xf numFmtId="0" fontId="8" fillId="0" borderId="16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4" fontId="8" fillId="0" borderId="0" xfId="0" applyNumberFormat="1" applyFont="1" applyFill="1" applyBorder="1" applyAlignment="1">
      <alignment vertical="top" wrapText="1"/>
    </xf>
    <xf numFmtId="4" fontId="4" fillId="6" borderId="4" xfId="0" applyNumberFormat="1" applyFont="1" applyFill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4" fontId="8" fillId="0" borderId="56" xfId="0" applyNumberFormat="1" applyFont="1" applyFill="1" applyBorder="1" applyAlignment="1">
      <alignment horizontal="right" vertical="top" wrapText="1"/>
    </xf>
    <xf numFmtId="4" fontId="8" fillId="0" borderId="57" xfId="0" applyNumberFormat="1" applyFont="1" applyBorder="1" applyAlignment="1">
      <alignment horizontal="right" vertical="top" wrapText="1"/>
    </xf>
    <xf numFmtId="4" fontId="8" fillId="5" borderId="45" xfId="0" applyNumberFormat="1" applyFont="1" applyFill="1" applyBorder="1" applyAlignment="1">
      <alignment horizontal="right" vertical="top" wrapText="1" shrinkToFit="1"/>
    </xf>
    <xf numFmtId="4" fontId="8" fillId="5" borderId="56" xfId="0" applyNumberFormat="1" applyFont="1" applyFill="1" applyBorder="1" applyAlignment="1">
      <alignment horizontal="right" vertical="top" wrapText="1" shrinkToFit="1"/>
    </xf>
    <xf numFmtId="4" fontId="8" fillId="5" borderId="52" xfId="0" applyNumberFormat="1" applyFont="1" applyFill="1" applyBorder="1" applyAlignment="1">
      <alignment horizontal="right" vertical="top" wrapText="1" shrinkToFit="1"/>
    </xf>
    <xf numFmtId="4" fontId="8" fillId="5" borderId="59" xfId="0" applyNumberFormat="1" applyFont="1" applyFill="1" applyBorder="1" applyAlignment="1">
      <alignment horizontal="right" vertical="top" wrapText="1" shrinkToFit="1"/>
    </xf>
    <xf numFmtId="4" fontId="8" fillId="5" borderId="44" xfId="0" applyNumberFormat="1" applyFont="1" applyFill="1" applyBorder="1" applyAlignment="1">
      <alignment horizontal="right" vertical="top" wrapText="1" shrinkToFit="1"/>
    </xf>
    <xf numFmtId="4" fontId="8" fillId="5" borderId="0" xfId="0" applyNumberFormat="1" applyFont="1" applyFill="1" applyBorder="1" applyAlignment="1">
      <alignment horizontal="right" vertical="top" wrapText="1" shrinkToFit="1"/>
    </xf>
    <xf numFmtId="4" fontId="8" fillId="5" borderId="47" xfId="0" applyNumberFormat="1" applyFont="1" applyFill="1" applyBorder="1" applyAlignment="1">
      <alignment horizontal="right" vertical="top" wrapText="1" shrinkToFit="1"/>
    </xf>
    <xf numFmtId="4" fontId="8" fillId="5" borderId="57" xfId="0" applyNumberFormat="1" applyFont="1" applyFill="1" applyBorder="1" applyAlignment="1">
      <alignment horizontal="right" vertical="top" wrapText="1" shrinkToFit="1"/>
    </xf>
    <xf numFmtId="4" fontId="8" fillId="5" borderId="49" xfId="0" applyNumberFormat="1" applyFont="1" applyFill="1" applyBorder="1" applyAlignment="1">
      <alignment horizontal="right" vertical="top" wrapText="1" shrinkToFit="1"/>
    </xf>
    <xf numFmtId="4" fontId="8" fillId="5" borderId="51" xfId="0" applyNumberFormat="1" applyFont="1" applyFill="1" applyBorder="1" applyAlignment="1">
      <alignment horizontal="right" vertical="top" wrapText="1" shrinkToFit="1"/>
    </xf>
    <xf numFmtId="4" fontId="8" fillId="0" borderId="0" xfId="0" applyNumberFormat="1" applyFont="1" applyBorder="1" applyAlignment="1">
      <alignment horizontal="right" vertical="top" wrapText="1"/>
    </xf>
    <xf numFmtId="4" fontId="8" fillId="5" borderId="51" xfId="0" applyNumberFormat="1" applyFont="1" applyFill="1" applyBorder="1" applyAlignment="1">
      <alignment horizontal="right" vertical="top" wrapText="1"/>
    </xf>
    <xf numFmtId="4" fontId="8" fillId="5" borderId="56" xfId="0" applyNumberFormat="1" applyFont="1" applyFill="1" applyBorder="1" applyAlignment="1">
      <alignment horizontal="right" vertical="top" wrapText="1"/>
    </xf>
    <xf numFmtId="4" fontId="8" fillId="5" borderId="61" xfId="0" applyNumberFormat="1" applyFont="1" applyFill="1" applyBorder="1" applyAlignment="1">
      <alignment horizontal="right" vertical="top" wrapText="1" shrinkToFit="1"/>
    </xf>
    <xf numFmtId="4" fontId="8" fillId="5" borderId="60" xfId="0" applyNumberFormat="1" applyFont="1" applyFill="1" applyBorder="1" applyAlignment="1">
      <alignment horizontal="right" vertical="top" wrapText="1" shrinkToFit="1"/>
    </xf>
    <xf numFmtId="4" fontId="8" fillId="5" borderId="34" xfId="0" applyNumberFormat="1" applyFont="1" applyFill="1" applyBorder="1" applyAlignment="1">
      <alignment horizontal="right" vertical="top" wrapText="1" shrinkToFit="1"/>
    </xf>
    <xf numFmtId="4" fontId="8" fillId="5" borderId="62" xfId="0" applyNumberFormat="1" applyFont="1" applyFill="1" applyBorder="1" applyAlignment="1">
      <alignment horizontal="right" vertical="top" wrapText="1" shrinkToFit="1"/>
    </xf>
    <xf numFmtId="4" fontId="8" fillId="5" borderId="4" xfId="0" applyNumberFormat="1" applyFont="1" applyFill="1" applyBorder="1" applyAlignment="1">
      <alignment horizontal="right" vertical="top" wrapText="1" shrinkToFit="1"/>
    </xf>
    <xf numFmtId="4" fontId="8" fillId="5" borderId="53" xfId="0" applyNumberFormat="1" applyFont="1" applyFill="1" applyBorder="1" applyAlignment="1">
      <alignment horizontal="right" vertical="top" wrapText="1" shrinkToFit="1"/>
    </xf>
    <xf numFmtId="4" fontId="8" fillId="0" borderId="59" xfId="0" applyNumberFormat="1" applyFont="1" applyBorder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4" fontId="8" fillId="0" borderId="51" xfId="0" applyNumberFormat="1" applyFont="1" applyBorder="1" applyAlignment="1">
      <alignment horizontal="right" vertical="top" wrapText="1"/>
    </xf>
    <xf numFmtId="4" fontId="8" fillId="0" borderId="52" xfId="0" applyNumberFormat="1" applyFont="1" applyBorder="1" applyAlignment="1">
      <alignment horizontal="right" vertical="top" wrapText="1"/>
    </xf>
    <xf numFmtId="4" fontId="8" fillId="0" borderId="44" xfId="0" applyNumberFormat="1" applyFont="1" applyFill="1" applyBorder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4" fontId="7" fillId="3" borderId="22" xfId="0" applyNumberFormat="1" applyFont="1" applyFill="1" applyBorder="1" applyAlignment="1">
      <alignment vertical="top" wrapText="1"/>
    </xf>
    <xf numFmtId="4" fontId="7" fillId="2" borderId="22" xfId="0" applyNumberFormat="1" applyFont="1" applyFill="1" applyBorder="1" applyAlignment="1">
      <alignment vertical="top" wrapText="1"/>
    </xf>
    <xf numFmtId="4" fontId="7" fillId="0" borderId="22" xfId="0" applyNumberFormat="1" applyFont="1" applyFill="1" applyBorder="1" applyAlignment="1">
      <alignment vertical="top" wrapText="1"/>
    </xf>
    <xf numFmtId="4" fontId="8" fillId="0" borderId="22" xfId="0" applyNumberFormat="1" applyFont="1" applyFill="1" applyBorder="1" applyAlignment="1">
      <alignment vertical="top" wrapText="1"/>
    </xf>
    <xf numFmtId="4" fontId="8" fillId="0" borderId="3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2" xfId="0" applyNumberFormat="1" applyFont="1" applyBorder="1" applyAlignment="1">
      <alignment horizontal="right" vertical="top" wrapText="1"/>
    </xf>
    <xf numFmtId="4" fontId="8" fillId="0" borderId="18" xfId="0" applyNumberFormat="1" applyFont="1" applyBorder="1" applyAlignment="1">
      <alignment horizontal="right" vertical="top" wrapText="1"/>
    </xf>
    <xf numFmtId="4" fontId="8" fillId="0" borderId="18" xfId="0" applyNumberFormat="1" applyFont="1" applyFill="1" applyBorder="1" applyAlignment="1">
      <alignment horizontal="right" vertical="top" wrapText="1"/>
    </xf>
    <xf numFmtId="4" fontId="8" fillId="0" borderId="5" xfId="0" applyNumberFormat="1" applyFont="1" applyFill="1" applyBorder="1" applyAlignment="1">
      <alignment horizontal="right" vertical="top" wrapText="1"/>
    </xf>
    <xf numFmtId="0" fontId="11" fillId="0" borderId="4" xfId="0" applyNumberFormat="1" applyFont="1" applyBorder="1" applyAlignment="1">
      <alignment horizontal="center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7" fillId="5" borderId="4" xfId="0" applyNumberFormat="1" applyFont="1" applyFill="1" applyBorder="1" applyAlignment="1">
      <alignment horizontal="center" vertical="top" wrapText="1"/>
    </xf>
    <xf numFmtId="0" fontId="7" fillId="5" borderId="5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4" fontId="7" fillId="0" borderId="0" xfId="0" applyNumberFormat="1" applyFont="1" applyAlignment="1">
      <alignment wrapText="1"/>
    </xf>
    <xf numFmtId="49" fontId="7" fillId="5" borderId="39" xfId="0" applyNumberFormat="1" applyFont="1" applyFill="1" applyBorder="1" applyAlignment="1">
      <alignment horizontal="center" vertical="top" wrapText="1" shrinkToFit="1"/>
    </xf>
    <xf numFmtId="49" fontId="8" fillId="0" borderId="11" xfId="0" applyNumberFormat="1" applyFont="1" applyBorder="1" applyAlignment="1">
      <alignment horizontal="left" vertical="top" wrapText="1"/>
    </xf>
    <xf numFmtId="49" fontId="6" fillId="5" borderId="64" xfId="0" applyNumberFormat="1" applyFont="1" applyFill="1" applyBorder="1" applyAlignment="1">
      <alignment horizontal="center" vertical="top" wrapText="1" shrinkToFit="1"/>
    </xf>
    <xf numFmtId="49" fontId="6" fillId="5" borderId="65" xfId="0" applyNumberFormat="1" applyFont="1" applyFill="1" applyBorder="1" applyAlignment="1">
      <alignment horizontal="center" vertical="top" wrapText="1" shrinkToFit="1"/>
    </xf>
    <xf numFmtId="49" fontId="7" fillId="5" borderId="65" xfId="0" applyNumberFormat="1" applyFont="1" applyFill="1" applyBorder="1" applyAlignment="1">
      <alignment horizontal="center" vertical="top" wrapText="1" shrinkToFit="1"/>
    </xf>
    <xf numFmtId="4" fontId="8" fillId="0" borderId="41" xfId="0" applyNumberFormat="1" applyFont="1" applyFill="1" applyBorder="1" applyAlignment="1">
      <alignment horizontal="right" vertical="top" wrapText="1"/>
    </xf>
    <xf numFmtId="4" fontId="8" fillId="0" borderId="40" xfId="0" applyNumberFormat="1" applyFont="1" applyBorder="1" applyAlignment="1">
      <alignment horizontal="right" vertical="top" wrapText="1"/>
    </xf>
    <xf numFmtId="4" fontId="8" fillId="0" borderId="42" xfId="0" applyNumberFormat="1" applyFont="1" applyBorder="1" applyAlignment="1">
      <alignment horizontal="righ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4" fontId="4" fillId="6" borderId="5" xfId="0" applyNumberFormat="1" applyFont="1" applyFill="1" applyBorder="1" applyAlignment="1">
      <alignment horizontal="right" vertical="top"/>
    </xf>
    <xf numFmtId="4" fontId="8" fillId="5" borderId="41" xfId="0" applyNumberFormat="1" applyFont="1" applyFill="1" applyBorder="1" applyAlignment="1">
      <alignment horizontal="right" vertical="top" wrapText="1" shrinkToFit="1"/>
    </xf>
    <xf numFmtId="4" fontId="8" fillId="5" borderId="66" xfId="0" applyNumberFormat="1" applyFont="1" applyFill="1" applyBorder="1" applyAlignment="1">
      <alignment horizontal="right" vertical="top" wrapText="1" shrinkToFit="1"/>
    </xf>
    <xf numFmtId="4" fontId="8" fillId="5" borderId="42" xfId="0" applyNumberFormat="1" applyFont="1" applyFill="1" applyBorder="1" applyAlignment="1">
      <alignment horizontal="right" vertical="top" wrapText="1" shrinkToFit="1"/>
    </xf>
    <xf numFmtId="0" fontId="8" fillId="0" borderId="17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4" fontId="8" fillId="5" borderId="40" xfId="0" applyNumberFormat="1" applyFont="1" applyFill="1" applyBorder="1" applyAlignment="1">
      <alignment horizontal="right" vertical="top" wrapText="1" shrinkToFit="1"/>
    </xf>
    <xf numFmtId="4" fontId="8" fillId="0" borderId="35" xfId="0" applyNumberFormat="1" applyFont="1" applyBorder="1" applyAlignment="1">
      <alignment horizontal="right" vertical="top" wrapText="1"/>
    </xf>
    <xf numFmtId="4" fontId="8" fillId="0" borderId="20" xfId="0" applyNumberFormat="1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8" fillId="0" borderId="68" xfId="0" applyNumberFormat="1" applyFont="1" applyFill="1" applyBorder="1" applyAlignment="1">
      <alignment horizontal="right" vertical="top" wrapText="1"/>
    </xf>
    <xf numFmtId="4" fontId="8" fillId="0" borderId="15" xfId="0" applyNumberFormat="1" applyFont="1" applyFill="1" applyBorder="1" applyAlignment="1">
      <alignment horizontal="right"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4" fontId="8" fillId="0" borderId="49" xfId="0" applyNumberFormat="1" applyFont="1" applyFill="1" applyBorder="1" applyAlignment="1">
      <alignment horizontal="right" vertical="top" wrapText="1"/>
    </xf>
    <xf numFmtId="4" fontId="8" fillId="0" borderId="6" xfId="0" applyNumberFormat="1" applyFont="1" applyFill="1" applyBorder="1" applyAlignment="1">
      <alignment horizontal="right" vertical="top" wrapText="1"/>
    </xf>
    <xf numFmtId="4" fontId="8" fillId="0" borderId="6" xfId="0" applyNumberFormat="1" applyFont="1" applyFill="1" applyBorder="1" applyAlignment="1">
      <alignment vertical="top" wrapText="1"/>
    </xf>
    <xf numFmtId="4" fontId="4" fillId="2" borderId="14" xfId="0" applyNumberFormat="1" applyFont="1" applyFill="1" applyBorder="1" applyAlignment="1">
      <alignment vertical="top"/>
    </xf>
    <xf numFmtId="0" fontId="12" fillId="0" borderId="0" xfId="0" applyFont="1" applyBorder="1" applyAlignment="1">
      <alignment horizontal="center"/>
    </xf>
    <xf numFmtId="4" fontId="4" fillId="0" borderId="37" xfId="0" applyNumberFormat="1" applyFont="1" applyBorder="1" applyAlignment="1">
      <alignment vertical="top"/>
    </xf>
    <xf numFmtId="4" fontId="4" fillId="2" borderId="15" xfId="0" applyNumberFormat="1" applyFont="1" applyFill="1" applyBorder="1" applyAlignment="1">
      <alignment horizontal="right" vertical="top"/>
    </xf>
    <xf numFmtId="4" fontId="4" fillId="2" borderId="15" xfId="0" applyNumberFormat="1" applyFont="1" applyFill="1" applyBorder="1" applyAlignment="1">
      <alignment vertical="top"/>
    </xf>
    <xf numFmtId="49" fontId="7" fillId="6" borderId="17" xfId="0" applyNumberFormat="1" applyFont="1" applyFill="1" applyBorder="1" applyAlignment="1">
      <alignment horizontal="right" vertical="top" wrapText="1"/>
    </xf>
    <xf numFmtId="49" fontId="7" fillId="2" borderId="20" xfId="0" applyNumberFormat="1" applyFont="1" applyFill="1" applyBorder="1" applyAlignment="1">
      <alignment horizontal="right" vertical="top" wrapText="1"/>
    </xf>
    <xf numFmtId="4" fontId="4" fillId="2" borderId="47" xfId="0" applyNumberFormat="1" applyFont="1" applyFill="1" applyBorder="1" applyAlignment="1">
      <alignment horizontal="right" vertical="top"/>
    </xf>
    <xf numFmtId="4" fontId="4" fillId="2" borderId="40" xfId="0" applyNumberFormat="1" applyFont="1" applyFill="1" applyBorder="1" applyAlignment="1">
      <alignment horizontal="right" vertical="top"/>
    </xf>
    <xf numFmtId="4" fontId="4" fillId="2" borderId="20" xfId="0" applyNumberFormat="1" applyFont="1" applyFill="1" applyBorder="1" applyAlignment="1">
      <alignment vertical="top"/>
    </xf>
    <xf numFmtId="49" fontId="7" fillId="2" borderId="23" xfId="0" applyNumberFormat="1" applyFont="1" applyFill="1" applyBorder="1" applyAlignment="1">
      <alignment horizontal="right" vertical="top" wrapText="1"/>
    </xf>
    <xf numFmtId="4" fontId="4" fillId="2" borderId="49" xfId="0" applyNumberFormat="1" applyFont="1" applyFill="1" applyBorder="1" applyAlignment="1">
      <alignment horizontal="right" vertical="top"/>
    </xf>
    <xf numFmtId="4" fontId="4" fillId="2" borderId="66" xfId="0" applyNumberFormat="1" applyFont="1" applyFill="1" applyBorder="1" applyAlignment="1">
      <alignment horizontal="right" vertical="top"/>
    </xf>
    <xf numFmtId="4" fontId="4" fillId="2" borderId="36" xfId="0" applyNumberFormat="1" applyFont="1" applyFill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4" fontId="4" fillId="2" borderId="28" xfId="0" applyNumberFormat="1" applyFont="1" applyFill="1" applyBorder="1" applyAlignment="1">
      <alignment vertical="top"/>
    </xf>
    <xf numFmtId="4" fontId="4" fillId="2" borderId="16" xfId="0" applyNumberFormat="1" applyFont="1" applyFill="1" applyBorder="1" applyAlignment="1">
      <alignment vertical="top"/>
    </xf>
    <xf numFmtId="4" fontId="4" fillId="2" borderId="24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49" fontId="7" fillId="2" borderId="28" xfId="0" applyNumberFormat="1" applyFont="1" applyFill="1" applyBorder="1" applyAlignment="1">
      <alignment horizontal="righ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4" fontId="4" fillId="2" borderId="25" xfId="0" applyNumberFormat="1" applyFont="1" applyFill="1" applyBorder="1" applyAlignment="1">
      <alignment vertical="top"/>
    </xf>
    <xf numFmtId="49" fontId="7" fillId="2" borderId="17" xfId="0" applyNumberFormat="1" applyFont="1" applyFill="1" applyBorder="1" applyAlignment="1">
      <alignment horizontal="right" vertical="top" wrapText="1"/>
    </xf>
    <xf numFmtId="49" fontId="7" fillId="2" borderId="16" xfId="0" applyNumberFormat="1" applyFont="1" applyFill="1" applyBorder="1" applyAlignment="1">
      <alignment horizontal="left" vertical="top" wrapText="1" shrinkToFit="1"/>
    </xf>
    <xf numFmtId="0" fontId="7" fillId="2" borderId="24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vertical="top"/>
    </xf>
    <xf numFmtId="0" fontId="7" fillId="0" borderId="25" xfId="0" applyFont="1" applyBorder="1" applyAlignment="1">
      <alignment horizontal="center" vertical="top" wrapText="1"/>
    </xf>
    <xf numFmtId="4" fontId="7" fillId="0" borderId="16" xfId="0" applyNumberFormat="1" applyFont="1" applyFill="1" applyBorder="1" applyAlignment="1">
      <alignment vertical="top"/>
    </xf>
    <xf numFmtId="0" fontId="7" fillId="0" borderId="23" xfId="0" applyFont="1" applyBorder="1" applyAlignment="1">
      <alignment horizontal="center" vertical="top" wrapText="1"/>
    </xf>
    <xf numFmtId="4" fontId="7" fillId="0" borderId="17" xfId="0" applyNumberFormat="1" applyFont="1" applyFill="1" applyBorder="1" applyAlignment="1">
      <alignment vertical="top"/>
    </xf>
    <xf numFmtId="4" fontId="4" fillId="3" borderId="17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4" fillId="0" borderId="24" xfId="0" applyFont="1" applyFill="1" applyBorder="1" applyAlignment="1">
      <alignment horizontal="center" vertical="top" wrapText="1"/>
    </xf>
    <xf numFmtId="1" fontId="7" fillId="0" borderId="22" xfId="0" applyNumberFormat="1" applyFont="1" applyBorder="1" applyAlignment="1">
      <alignment horizontal="center" vertical="top" wrapText="1"/>
    </xf>
    <xf numFmtId="1" fontId="11" fillId="0" borderId="22" xfId="0" applyNumberFormat="1" applyFont="1" applyBorder="1" applyAlignment="1">
      <alignment horizontal="center" vertical="top" wrapText="1"/>
    </xf>
    <xf numFmtId="4" fontId="7" fillId="2" borderId="15" xfId="0" applyNumberFormat="1" applyFont="1" applyFill="1" applyBorder="1" applyAlignment="1">
      <alignment vertical="top"/>
    </xf>
    <xf numFmtId="4" fontId="7" fillId="2" borderId="40" xfId="0" applyNumberFormat="1" applyFont="1" applyFill="1" applyBorder="1" applyAlignment="1">
      <alignment horizontal="right" vertical="top"/>
    </xf>
    <xf numFmtId="4" fontId="7" fillId="2" borderId="66" xfId="0" applyNumberFormat="1" applyFont="1" applyFill="1" applyBorder="1" applyAlignment="1">
      <alignment horizontal="right" vertical="top"/>
    </xf>
    <xf numFmtId="4" fontId="7" fillId="0" borderId="5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4" fontId="7" fillId="2" borderId="1" xfId="0" applyNumberFormat="1" applyFont="1" applyFill="1" applyBorder="1" applyAlignment="1">
      <alignment vertical="top"/>
    </xf>
    <xf numFmtId="4" fontId="7" fillId="2" borderId="14" xfId="0" applyNumberFormat="1" applyFont="1" applyFill="1" applyBorder="1" applyAlignment="1">
      <alignment vertical="top"/>
    </xf>
    <xf numFmtId="4" fontId="8" fillId="0" borderId="5" xfId="0" applyNumberFormat="1" applyFont="1" applyBorder="1" applyAlignment="1">
      <alignment vertical="top"/>
    </xf>
    <xf numFmtId="4" fontId="7" fillId="0" borderId="5" xfId="0" applyNumberFormat="1" applyFont="1" applyBorder="1" applyAlignment="1">
      <alignment vertical="top"/>
    </xf>
    <xf numFmtId="4" fontId="8" fillId="0" borderId="18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top"/>
    </xf>
    <xf numFmtId="4" fontId="8" fillId="0" borderId="8" xfId="0" applyNumberFormat="1" applyFont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7" fillId="2" borderId="2" xfId="0" applyNumberFormat="1" applyFont="1" applyFill="1" applyBorder="1" applyAlignment="1">
      <alignment vertical="top"/>
    </xf>
    <xf numFmtId="4" fontId="7" fillId="2" borderId="6" xfId="0" applyNumberFormat="1" applyFont="1" applyFill="1" applyBorder="1" applyAlignment="1">
      <alignment vertical="top"/>
    </xf>
    <xf numFmtId="4" fontId="7" fillId="2" borderId="18" xfId="0" applyNumberFormat="1" applyFont="1" applyFill="1" applyBorder="1" applyAlignment="1">
      <alignment vertical="top"/>
    </xf>
    <xf numFmtId="4" fontId="8" fillId="0" borderId="14" xfId="0" applyNumberFormat="1" applyFont="1" applyBorder="1" applyAlignment="1">
      <alignment vertical="top"/>
    </xf>
    <xf numFmtId="4" fontId="7" fillId="0" borderId="18" xfId="0" applyNumberFormat="1" applyFont="1" applyBorder="1" applyAlignment="1">
      <alignment vertical="top"/>
    </xf>
    <xf numFmtId="4" fontId="7" fillId="0" borderId="5" xfId="0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7" fillId="0" borderId="22" xfId="0" applyNumberFormat="1" applyFont="1" applyBorder="1" applyAlignment="1">
      <alignment vertical="top"/>
    </xf>
    <xf numFmtId="4" fontId="7" fillId="4" borderId="22" xfId="0" applyNumberFormat="1" applyFont="1" applyFill="1" applyBorder="1" applyAlignment="1">
      <alignment vertical="top" wrapText="1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2" fontId="0" fillId="0" borderId="0" xfId="0" applyNumberFormat="1" applyFont="1" applyAlignment="1">
      <alignment vertical="top"/>
    </xf>
    <xf numFmtId="2" fontId="12" fillId="0" borderId="0" xfId="0" applyNumberFormat="1" applyFont="1" applyBorder="1" applyAlignment="1">
      <alignment horizontal="center" vertical="top"/>
    </xf>
    <xf numFmtId="2" fontId="8" fillId="5" borderId="11" xfId="0" applyNumberFormat="1" applyFont="1" applyFill="1" applyBorder="1" applyAlignment="1">
      <alignment horizontal="left" vertical="top" wrapText="1" shrinkToFit="1"/>
    </xf>
    <xf numFmtId="4" fontId="1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16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/>
    <xf numFmtId="0" fontId="0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4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5" xfId="0" applyNumberFormat="1" applyFont="1" applyFill="1" applyBorder="1" applyAlignment="1">
      <alignment vertical="top"/>
    </xf>
    <xf numFmtId="0" fontId="4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vertical="top" wrapText="1"/>
    </xf>
    <xf numFmtId="4" fontId="7" fillId="3" borderId="35" xfId="0" applyNumberFormat="1" applyFont="1" applyFill="1" applyBorder="1" applyAlignment="1">
      <alignment vertical="top" wrapText="1"/>
    </xf>
    <xf numFmtId="4" fontId="7" fillId="3" borderId="14" xfId="0" applyNumberFormat="1" applyFont="1" applyFill="1" applyBorder="1" applyAlignment="1">
      <alignment vertical="top" wrapText="1"/>
    </xf>
    <xf numFmtId="4" fontId="8" fillId="0" borderId="62" xfId="0" applyNumberFormat="1" applyFont="1" applyBorder="1" applyAlignment="1">
      <alignment horizontal="right" vertical="top" wrapText="1"/>
    </xf>
    <xf numFmtId="0" fontId="4" fillId="2" borderId="5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center" vertical="top" wrapText="1"/>
    </xf>
    <xf numFmtId="0" fontId="7" fillId="0" borderId="68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top" wrapText="1"/>
    </xf>
    <xf numFmtId="49" fontId="7" fillId="6" borderId="24" xfId="0" applyNumberFormat="1" applyFont="1" applyFill="1" applyBorder="1" applyAlignment="1">
      <alignment horizontal="right" vertical="top" wrapText="1"/>
    </xf>
    <xf numFmtId="49" fontId="8" fillId="6" borderId="17" xfId="0" applyNumberFormat="1" applyFont="1" applyFill="1" applyBorder="1" applyAlignment="1">
      <alignment horizontal="right" vertical="top" wrapText="1"/>
    </xf>
    <xf numFmtId="4" fontId="3" fillId="6" borderId="4" xfId="0" applyNumberFormat="1" applyFont="1" applyFill="1" applyBorder="1" applyAlignment="1">
      <alignment horizontal="right" vertical="top"/>
    </xf>
    <xf numFmtId="49" fontId="8" fillId="6" borderId="12" xfId="0" applyNumberFormat="1" applyFont="1" applyFill="1" applyBorder="1" applyAlignment="1">
      <alignment horizontal="right" vertical="top" wrapText="1"/>
    </xf>
    <xf numFmtId="49" fontId="8" fillId="6" borderId="24" xfId="0" applyNumberFormat="1" applyFont="1" applyFill="1" applyBorder="1" applyAlignment="1">
      <alignment horizontal="right" vertical="top" wrapText="1"/>
    </xf>
    <xf numFmtId="4" fontId="3" fillId="6" borderId="43" xfId="0" applyNumberFormat="1" applyFont="1" applyFill="1" applyBorder="1" applyAlignment="1">
      <alignment horizontal="right" vertical="top"/>
    </xf>
    <xf numFmtId="4" fontId="3" fillId="6" borderId="5" xfId="0" applyNumberFormat="1" applyFont="1" applyFill="1" applyBorder="1" applyAlignment="1">
      <alignment horizontal="right" vertical="top"/>
    </xf>
    <xf numFmtId="4" fontId="3" fillId="6" borderId="15" xfId="0" applyNumberFormat="1" applyFont="1" applyFill="1" applyBorder="1" applyAlignment="1">
      <alignment horizontal="right" vertical="top"/>
    </xf>
    <xf numFmtId="0" fontId="14" fillId="0" borderId="0" xfId="0" applyFont="1" applyAlignment="1">
      <alignment vertical="top"/>
    </xf>
    <xf numFmtId="0" fontId="3" fillId="0" borderId="1" xfId="0" applyFont="1" applyBorder="1" applyAlignment="1">
      <alignment horizontal="justify" vertical="top" wrapText="1"/>
    </xf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16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 wrapText="1"/>
    </xf>
    <xf numFmtId="0" fontId="7" fillId="5" borderId="24" xfId="0" applyFont="1" applyFill="1" applyBorder="1" applyAlignment="1">
      <alignment horizontal="center" vertical="top" wrapText="1"/>
    </xf>
    <xf numFmtId="4" fontId="7" fillId="6" borderId="12" xfId="0" applyNumberFormat="1" applyFont="1" applyFill="1" applyBorder="1" applyAlignment="1">
      <alignment horizontal="left" vertical="top" wrapText="1"/>
    </xf>
    <xf numFmtId="49" fontId="7" fillId="0" borderId="28" xfId="0" applyNumberFormat="1" applyFont="1" applyFill="1" applyBorder="1" applyAlignment="1">
      <alignment horizontal="right" vertical="top" wrapText="1"/>
    </xf>
    <xf numFmtId="49" fontId="8" fillId="0" borderId="20" xfId="0" applyNumberFormat="1" applyFont="1" applyFill="1" applyBorder="1" applyAlignment="1">
      <alignment horizontal="right" vertical="top" wrapText="1"/>
    </xf>
    <xf numFmtId="49" fontId="7" fillId="0" borderId="11" xfId="0" applyNumberFormat="1" applyFont="1" applyFill="1" applyBorder="1" applyAlignment="1">
      <alignment horizontal="right" vertical="top" wrapText="1"/>
    </xf>
    <xf numFmtId="49" fontId="8" fillId="0" borderId="11" xfId="0" applyNumberFormat="1" applyFont="1" applyFill="1" applyBorder="1" applyAlignment="1">
      <alignment horizontal="right" vertical="top" wrapText="1"/>
    </xf>
    <xf numFmtId="49" fontId="8" fillId="0" borderId="23" xfId="0" applyNumberFormat="1" applyFont="1" applyFill="1" applyBorder="1" applyAlignment="1">
      <alignment horizontal="right" vertical="top" wrapText="1"/>
    </xf>
    <xf numFmtId="0" fontId="7" fillId="5" borderId="24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4" fontId="4" fillId="6" borderId="12" xfId="0" applyNumberFormat="1" applyFont="1" applyFill="1" applyBorder="1" applyAlignment="1">
      <alignment horizontal="right" vertical="top"/>
    </xf>
    <xf numFmtId="4" fontId="4" fillId="0" borderId="28" xfId="0" applyNumberFormat="1" applyFont="1" applyFill="1" applyBorder="1" applyAlignment="1">
      <alignment horizontal="right" vertical="top"/>
    </xf>
    <xf numFmtId="4" fontId="3" fillId="0" borderId="20" xfId="0" applyNumberFormat="1" applyFont="1" applyFill="1" applyBorder="1" applyAlignment="1">
      <alignment horizontal="right" vertical="top"/>
    </xf>
    <xf numFmtId="4" fontId="4" fillId="0" borderId="11" xfId="0" applyNumberFormat="1" applyFont="1" applyFill="1" applyBorder="1" applyAlignment="1">
      <alignment horizontal="right" vertical="top"/>
    </xf>
    <xf numFmtId="4" fontId="3" fillId="0" borderId="11" xfId="0" applyNumberFormat="1" applyFont="1" applyFill="1" applyBorder="1" applyAlignment="1">
      <alignment horizontal="right" vertical="top"/>
    </xf>
    <xf numFmtId="4" fontId="3" fillId="0" borderId="23" xfId="0" applyNumberFormat="1" applyFont="1" applyFill="1" applyBorder="1" applyAlignment="1">
      <alignment horizontal="right" vertical="top"/>
    </xf>
    <xf numFmtId="1" fontId="7" fillId="0" borderId="24" xfId="0" applyNumberFormat="1" applyFont="1" applyBorder="1" applyAlignment="1">
      <alignment horizontal="center" vertical="top" wrapText="1"/>
    </xf>
    <xf numFmtId="1" fontId="4" fillId="0" borderId="2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top" wrapText="1"/>
    </xf>
    <xf numFmtId="0" fontId="0" fillId="0" borderId="0" xfId="0" applyBorder="1"/>
    <xf numFmtId="4" fontId="8" fillId="0" borderId="47" xfId="0" applyNumberFormat="1" applyFont="1" applyBorder="1" applyAlignment="1">
      <alignment vertical="top" wrapText="1"/>
    </xf>
    <xf numFmtId="4" fontId="8" fillId="0" borderId="51" xfId="0" applyNumberFormat="1" applyFont="1" applyBorder="1" applyAlignment="1">
      <alignment vertical="top" wrapText="1"/>
    </xf>
    <xf numFmtId="4" fontId="8" fillId="0" borderId="0" xfId="0" applyNumberFormat="1" applyFont="1" applyAlignment="1">
      <alignment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4" fontId="8" fillId="0" borderId="49" xfId="0" applyNumberFormat="1" applyFont="1" applyBorder="1" applyAlignment="1">
      <alignment vertical="top" wrapText="1"/>
    </xf>
    <xf numFmtId="4" fontId="8" fillId="0" borderId="34" xfId="0" applyNumberFormat="1" applyFont="1" applyBorder="1" applyAlignment="1">
      <alignment vertical="top" wrapText="1"/>
    </xf>
    <xf numFmtId="4" fontId="8" fillId="0" borderId="0" xfId="0" applyNumberFormat="1" applyFont="1" applyBorder="1" applyAlignment="1">
      <alignment vertical="top" wrapText="1"/>
    </xf>
    <xf numFmtId="4" fontId="8" fillId="0" borderId="57" xfId="0" applyNumberFormat="1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vertical="top" wrapText="1"/>
    </xf>
    <xf numFmtId="4" fontId="8" fillId="0" borderId="14" xfId="0" applyNumberFormat="1" applyFont="1" applyBorder="1" applyAlignment="1">
      <alignment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51" xfId="0" applyNumberFormat="1" applyFont="1" applyFill="1" applyBorder="1" applyAlignment="1">
      <alignment vertical="top" wrapText="1"/>
    </xf>
    <xf numFmtId="4" fontId="8" fillId="0" borderId="34" xfId="0" applyNumberFormat="1" applyFont="1" applyFill="1" applyBorder="1" applyAlignment="1">
      <alignment vertical="top" wrapText="1"/>
    </xf>
    <xf numFmtId="4" fontId="7" fillId="0" borderId="19" xfId="0" applyNumberFormat="1" applyFont="1" applyBorder="1" applyAlignment="1">
      <alignment horizontal="center" vertical="top" wrapText="1"/>
    </xf>
    <xf numFmtId="4" fontId="8" fillId="0" borderId="48" xfId="0" applyNumberFormat="1" applyFont="1" applyBorder="1" applyAlignment="1">
      <alignment vertical="top" wrapText="1"/>
    </xf>
    <xf numFmtId="4" fontId="8" fillId="0" borderId="50" xfId="0" applyNumberFormat="1" applyFont="1" applyBorder="1" applyAlignment="1">
      <alignment vertical="top" wrapText="1"/>
    </xf>
    <xf numFmtId="4" fontId="8" fillId="0" borderId="78" xfId="0" applyNumberFormat="1" applyFont="1" applyBorder="1" applyAlignment="1">
      <alignment vertical="top" wrapText="1"/>
    </xf>
    <xf numFmtId="4" fontId="7" fillId="2" borderId="29" xfId="0" applyNumberFormat="1" applyFont="1" applyFill="1" applyBorder="1" applyAlignment="1">
      <alignment vertical="top" wrapText="1"/>
    </xf>
    <xf numFmtId="4" fontId="7" fillId="2" borderId="10" xfId="0" applyNumberFormat="1" applyFont="1" applyFill="1" applyBorder="1" applyAlignment="1">
      <alignment vertical="top" wrapText="1"/>
    </xf>
    <xf numFmtId="4" fontId="7" fillId="2" borderId="13" xfId="0" applyNumberFormat="1" applyFont="1" applyFill="1" applyBorder="1" applyAlignment="1">
      <alignment vertical="top" wrapText="1"/>
    </xf>
    <xf numFmtId="4" fontId="8" fillId="0" borderId="10" xfId="0" applyNumberFormat="1" applyFont="1" applyBorder="1" applyAlignment="1">
      <alignment vertical="top" wrapText="1"/>
    </xf>
    <xf numFmtId="4" fontId="8" fillId="0" borderId="13" xfId="0" applyNumberFormat="1" applyFont="1" applyBorder="1" applyAlignment="1">
      <alignment vertical="top" wrapText="1"/>
    </xf>
    <xf numFmtId="4" fontId="8" fillId="0" borderId="78" xfId="0" applyNumberFormat="1" applyFont="1" applyFill="1" applyBorder="1" applyAlignment="1">
      <alignment vertical="top" wrapText="1"/>
    </xf>
    <xf numFmtId="4" fontId="7" fillId="0" borderId="46" xfId="0" applyNumberFormat="1" applyFont="1" applyFill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center" vertical="top" wrapText="1"/>
    </xf>
    <xf numFmtId="4" fontId="7" fillId="0" borderId="46" xfId="0" applyNumberFormat="1" applyFont="1" applyBorder="1" applyAlignment="1">
      <alignment vertical="top" wrapText="1"/>
    </xf>
    <xf numFmtId="4" fontId="7" fillId="0" borderId="8" xfId="0" applyNumberFormat="1" applyFont="1" applyBorder="1" applyAlignment="1">
      <alignment vertical="top" wrapText="1"/>
    </xf>
    <xf numFmtId="4" fontId="7" fillId="0" borderId="29" xfId="0" applyNumberFormat="1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4" fontId="7" fillId="0" borderId="67" xfId="0" applyNumberFormat="1" applyFont="1" applyBorder="1" applyAlignment="1">
      <alignment vertical="top" wrapText="1"/>
    </xf>
    <xf numFmtId="4" fontId="7" fillId="0" borderId="79" xfId="0" applyNumberFormat="1" applyFont="1" applyFill="1" applyBorder="1" applyAlignment="1">
      <alignment vertical="top" wrapText="1"/>
    </xf>
    <xf numFmtId="4" fontId="7" fillId="0" borderId="79" xfId="0" applyNumberFormat="1" applyFont="1" applyBorder="1" applyAlignment="1">
      <alignment vertical="top" wrapText="1"/>
    </xf>
    <xf numFmtId="4" fontId="8" fillId="0" borderId="65" xfId="0" applyNumberFormat="1" applyFont="1" applyBorder="1" applyAlignment="1">
      <alignment vertical="top" wrapText="1"/>
    </xf>
    <xf numFmtId="4" fontId="8" fillId="0" borderId="80" xfId="0" applyNumberFormat="1" applyFont="1" applyBorder="1" applyAlignment="1">
      <alignment vertical="top" wrapText="1"/>
    </xf>
    <xf numFmtId="4" fontId="8" fillId="0" borderId="23" xfId="0" applyNumberFormat="1" applyFont="1" applyBorder="1" applyAlignment="1">
      <alignment vertical="top" wrapText="1"/>
    </xf>
    <xf numFmtId="4" fontId="7" fillId="0" borderId="16" xfId="0" applyNumberFormat="1" applyFont="1" applyBorder="1" applyAlignment="1">
      <alignment vertical="top" wrapText="1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22" xfId="0" applyNumberFormat="1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vertical="top"/>
    </xf>
    <xf numFmtId="4" fontId="7" fillId="0" borderId="60" xfId="0" applyNumberFormat="1" applyFont="1" applyBorder="1" applyAlignment="1">
      <alignment vertical="top" wrapText="1"/>
    </xf>
    <xf numFmtId="4" fontId="8" fillId="0" borderId="57" xfId="0" applyNumberFormat="1" applyFont="1" applyBorder="1" applyAlignment="1">
      <alignment vertical="top" wrapText="1"/>
    </xf>
    <xf numFmtId="4" fontId="8" fillId="0" borderId="61" xfId="0" applyNumberFormat="1" applyFont="1" applyBorder="1" applyAlignment="1">
      <alignment vertical="top" wrapText="1"/>
    </xf>
    <xf numFmtId="4" fontId="7" fillId="0" borderId="45" xfId="0" applyNumberFormat="1" applyFont="1" applyBorder="1" applyAlignment="1">
      <alignment vertical="top" wrapText="1"/>
    </xf>
    <xf numFmtId="4" fontId="7" fillId="2" borderId="45" xfId="0" applyNumberFormat="1" applyFont="1" applyFill="1" applyBorder="1" applyAlignment="1">
      <alignment vertical="top" wrapText="1"/>
    </xf>
    <xf numFmtId="4" fontId="7" fillId="2" borderId="47" xfId="0" applyNumberFormat="1" applyFont="1" applyFill="1" applyBorder="1" applyAlignment="1">
      <alignment vertical="top" wrapText="1"/>
    </xf>
    <xf numFmtId="4" fontId="7" fillId="2" borderId="49" xfId="0" applyNumberFormat="1" applyFont="1" applyFill="1" applyBorder="1" applyAlignment="1">
      <alignment vertical="top" wrapText="1"/>
    </xf>
    <xf numFmtId="4" fontId="7" fillId="0" borderId="47" xfId="0" applyNumberFormat="1" applyFont="1" applyBorder="1" applyAlignment="1">
      <alignment vertical="top" wrapText="1"/>
    </xf>
    <xf numFmtId="4" fontId="7" fillId="0" borderId="49" xfId="0" applyNumberFormat="1" applyFont="1" applyBorder="1" applyAlignment="1">
      <alignment vertical="top" wrapText="1"/>
    </xf>
    <xf numFmtId="4" fontId="8" fillId="2" borderId="51" xfId="0" applyNumberFormat="1" applyFont="1" applyFill="1" applyBorder="1" applyAlignment="1">
      <alignment vertical="top" wrapText="1"/>
    </xf>
    <xf numFmtId="4" fontId="8" fillId="2" borderId="49" xfId="0" applyNumberFormat="1" applyFont="1" applyFill="1" applyBorder="1" applyAlignment="1">
      <alignment vertical="top" wrapText="1"/>
    </xf>
    <xf numFmtId="4" fontId="7" fillId="2" borderId="51" xfId="0" applyNumberFormat="1" applyFont="1" applyFill="1" applyBorder="1" applyAlignment="1">
      <alignment vertical="top" wrapText="1"/>
    </xf>
    <xf numFmtId="4" fontId="7" fillId="2" borderId="34" xfId="0" applyNumberFormat="1" applyFont="1" applyFill="1" applyBorder="1" applyAlignment="1">
      <alignment vertical="top" wrapText="1"/>
    </xf>
    <xf numFmtId="4" fontId="7" fillId="0" borderId="45" xfId="0" applyNumberFormat="1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49" fontId="17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top" wrapText="1"/>
    </xf>
    <xf numFmtId="0" fontId="17" fillId="0" borderId="45" xfId="0" applyFont="1" applyBorder="1" applyAlignment="1">
      <alignment vertical="top" wrapText="1"/>
    </xf>
    <xf numFmtId="49" fontId="17" fillId="0" borderId="8" xfId="0" applyNumberFormat="1" applyFont="1" applyBorder="1" applyAlignment="1">
      <alignment horizontal="center" vertical="top" wrapText="1"/>
    </xf>
    <xf numFmtId="4" fontId="17" fillId="0" borderId="46" xfId="0" applyNumberFormat="1" applyFont="1" applyBorder="1" applyAlignment="1">
      <alignment horizontal="right" vertical="top" wrapText="1"/>
    </xf>
    <xf numFmtId="49" fontId="16" fillId="0" borderId="47" xfId="0" applyNumberFormat="1" applyFont="1" applyBorder="1" applyAlignment="1">
      <alignment vertical="top" wrapText="1"/>
    </xf>
    <xf numFmtId="4" fontId="16" fillId="0" borderId="48" xfId="0" applyNumberFormat="1" applyFont="1" applyBorder="1" applyAlignment="1">
      <alignment horizontal="right" vertical="top" wrapText="1"/>
    </xf>
    <xf numFmtId="0" fontId="17" fillId="0" borderId="49" xfId="0" applyFont="1" applyBorder="1" applyAlignment="1">
      <alignment vertical="top" wrapText="1"/>
    </xf>
    <xf numFmtId="49" fontId="17" fillId="0" borderId="6" xfId="0" applyNumberFormat="1" applyFont="1" applyBorder="1" applyAlignment="1">
      <alignment horizontal="center" vertical="top" wrapText="1"/>
    </xf>
    <xf numFmtId="4" fontId="17" fillId="0" borderId="50" xfId="0" applyNumberFormat="1" applyFont="1" applyBorder="1" applyAlignment="1">
      <alignment horizontal="right" vertical="top" wrapText="1"/>
    </xf>
    <xf numFmtId="0" fontId="16" fillId="0" borderId="47" xfId="0" applyFont="1" applyBorder="1" applyAlignment="1">
      <alignment vertical="top" wrapText="1"/>
    </xf>
    <xf numFmtId="2" fontId="16" fillId="0" borderId="47" xfId="0" applyNumberFormat="1" applyFont="1" applyBorder="1" applyAlignment="1">
      <alignment vertical="top" wrapText="1"/>
    </xf>
    <xf numFmtId="49" fontId="16" fillId="0" borderId="51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right" vertical="top" wrapText="1"/>
    </xf>
    <xf numFmtId="4" fontId="16" fillId="0" borderId="31" xfId="0" applyNumberFormat="1" applyFont="1" applyBorder="1" applyAlignment="1">
      <alignment horizontal="right" vertical="top" wrapText="1"/>
    </xf>
    <xf numFmtId="0" fontId="17" fillId="0" borderId="4" xfId="0" applyFont="1" applyBorder="1" applyAlignment="1">
      <alignment vertical="top" wrapText="1"/>
    </xf>
    <xf numFmtId="49" fontId="17" fillId="0" borderId="5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right" vertical="top" wrapText="1"/>
    </xf>
    <xf numFmtId="4" fontId="17" fillId="0" borderId="27" xfId="0" applyNumberFormat="1" applyFont="1" applyBorder="1" applyAlignment="1">
      <alignment horizontal="right" vertical="top" wrapText="1"/>
    </xf>
    <xf numFmtId="0" fontId="16" fillId="0" borderId="51" xfId="0" applyFont="1" applyBorder="1" applyAlignment="1">
      <alignment vertical="top" wrapText="1"/>
    </xf>
    <xf numFmtId="2" fontId="16" fillId="0" borderId="51" xfId="0" applyNumberFormat="1" applyFont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4" fontId="17" fillId="2" borderId="5" xfId="0" applyNumberFormat="1" applyFont="1" applyFill="1" applyBorder="1" applyAlignment="1">
      <alignment horizontal="right" vertical="top" wrapText="1"/>
    </xf>
    <xf numFmtId="4" fontId="17" fillId="2" borderId="27" xfId="0" applyNumberFormat="1" applyFont="1" applyFill="1" applyBorder="1" applyAlignment="1">
      <alignment horizontal="right" vertical="top" wrapText="1"/>
    </xf>
    <xf numFmtId="49" fontId="17" fillId="0" borderId="18" xfId="0" applyNumberFormat="1" applyFont="1" applyBorder="1" applyAlignment="1">
      <alignment horizontal="center" vertical="top" wrapText="1"/>
    </xf>
    <xf numFmtId="4" fontId="17" fillId="0" borderId="18" xfId="0" applyNumberFormat="1" applyFont="1" applyBorder="1" applyAlignment="1">
      <alignment horizontal="right" vertical="top" wrapText="1"/>
    </xf>
    <xf numFmtId="49" fontId="16" fillId="0" borderId="49" xfId="0" applyNumberFormat="1" applyFont="1" applyBorder="1" applyAlignment="1">
      <alignment vertical="top" wrapText="1"/>
    </xf>
    <xf numFmtId="49" fontId="16" fillId="0" borderId="6" xfId="0" applyNumberFormat="1" applyFont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right" vertical="top" wrapText="1"/>
    </xf>
    <xf numFmtId="4" fontId="16" fillId="0" borderId="50" xfId="0" applyNumberFormat="1" applyFont="1" applyBorder="1" applyAlignment="1">
      <alignment horizontal="righ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18" xfId="0" applyNumberFormat="1" applyFont="1" applyBorder="1" applyAlignment="1">
      <alignment vertical="top" wrapText="1"/>
    </xf>
    <xf numFmtId="49" fontId="17" fillId="2" borderId="4" xfId="0" applyNumberFormat="1" applyFont="1" applyFill="1" applyBorder="1" applyAlignment="1">
      <alignment vertical="top" wrapText="1"/>
    </xf>
    <xf numFmtId="49" fontId="17" fillId="0" borderId="43" xfId="0" applyNumberFormat="1" applyFont="1" applyBorder="1" applyAlignment="1">
      <alignment vertical="top" wrapText="1"/>
    </xf>
    <xf numFmtId="49" fontId="17" fillId="0" borderId="15" xfId="0" applyNumberFormat="1" applyFont="1" applyBorder="1" applyAlignment="1">
      <alignment horizontal="center" vertical="top" wrapText="1"/>
    </xf>
    <xf numFmtId="4" fontId="17" fillId="0" borderId="75" xfId="0" applyNumberFormat="1" applyFont="1" applyBorder="1" applyAlignment="1">
      <alignment horizontal="right" vertical="top" wrapText="1"/>
    </xf>
    <xf numFmtId="0" fontId="16" fillId="0" borderId="49" xfId="0" applyFont="1" applyBorder="1" applyAlignment="1">
      <alignment vertical="top" wrapText="1"/>
    </xf>
    <xf numFmtId="0" fontId="16" fillId="0" borderId="44" xfId="0" applyFont="1" applyBorder="1" applyAlignment="1">
      <alignment vertical="top" wrapText="1"/>
    </xf>
    <xf numFmtId="49" fontId="16" fillId="0" borderId="18" xfId="0" applyNumberFormat="1" applyFont="1" applyBorder="1" applyAlignment="1">
      <alignment horizontal="center" vertical="top" wrapText="1"/>
    </xf>
    <xf numFmtId="4" fontId="16" fillId="0" borderId="32" xfId="0" applyNumberFormat="1" applyFont="1" applyBorder="1" applyAlignment="1">
      <alignment horizontal="right" vertical="top" wrapText="1"/>
    </xf>
    <xf numFmtId="0" fontId="17" fillId="7" borderId="4" xfId="0" applyFont="1" applyFill="1" applyBorder="1" applyAlignment="1">
      <alignment vertical="top" wrapText="1"/>
    </xf>
    <xf numFmtId="49" fontId="17" fillId="7" borderId="5" xfId="0" applyNumberFormat="1" applyFont="1" applyFill="1" applyBorder="1" applyAlignment="1">
      <alignment horizontal="center" vertical="top" wrapText="1"/>
    </xf>
    <xf numFmtId="4" fontId="17" fillId="7" borderId="5" xfId="0" applyNumberFormat="1" applyFont="1" applyFill="1" applyBorder="1" applyAlignment="1">
      <alignment horizontal="right" vertical="top" wrapText="1"/>
    </xf>
    <xf numFmtId="0" fontId="17" fillId="8" borderId="4" xfId="0" applyFont="1" applyFill="1" applyBorder="1" applyAlignment="1">
      <alignment vertical="top" wrapText="1"/>
    </xf>
    <xf numFmtId="4" fontId="17" fillId="8" borderId="27" xfId="0" applyNumberFormat="1" applyFont="1" applyFill="1" applyBorder="1" applyAlignment="1">
      <alignment horizontal="right" vertical="top" wrapText="1"/>
    </xf>
    <xf numFmtId="0" fontId="16" fillId="0" borderId="52" xfId="0" applyFont="1" applyBorder="1" applyAlignment="1">
      <alignment vertical="top" wrapText="1"/>
    </xf>
    <xf numFmtId="49" fontId="16" fillId="0" borderId="2" xfId="0" applyNumberFormat="1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6" fillId="0" borderId="26" xfId="0" applyNumberFormat="1" applyFont="1" applyBorder="1" applyAlignment="1">
      <alignment horizontal="right" vertical="top" wrapText="1"/>
    </xf>
    <xf numFmtId="0" fontId="16" fillId="0" borderId="0" xfId="0" applyFont="1" applyBorder="1" applyAlignment="1">
      <alignment vertical="top" wrapText="1"/>
    </xf>
    <xf numFmtId="49" fontId="16" fillId="0" borderId="0" xfId="0" applyNumberFormat="1" applyFont="1" applyBorder="1" applyAlignment="1">
      <alignment horizontal="center" vertical="top" wrapText="1"/>
    </xf>
    <xf numFmtId="4" fontId="16" fillId="0" borderId="0" xfId="0" applyNumberFormat="1" applyFont="1" applyBorder="1" applyAlignment="1">
      <alignment horizontal="right" vertical="top" wrapText="1"/>
    </xf>
    <xf numFmtId="0" fontId="17" fillId="0" borderId="47" xfId="0" applyFont="1" applyBorder="1" applyAlignment="1">
      <alignment vertical="top" wrapText="1"/>
    </xf>
    <xf numFmtId="4" fontId="17" fillId="0" borderId="48" xfId="0" applyNumberFormat="1" applyFont="1" applyBorder="1" applyAlignment="1">
      <alignment horizontal="right" vertical="top" wrapText="1"/>
    </xf>
    <xf numFmtId="4" fontId="13" fillId="0" borderId="0" xfId="0" applyNumberFormat="1" applyFont="1" applyAlignment="1">
      <alignment vertical="top" wrapText="1"/>
    </xf>
    <xf numFmtId="49" fontId="17" fillId="8" borderId="5" xfId="0" applyNumberFormat="1" applyFont="1" applyFill="1" applyBorder="1" applyAlignment="1">
      <alignment horizontal="center" vertical="top" wrapText="1"/>
    </xf>
    <xf numFmtId="4" fontId="16" fillId="0" borderId="47" xfId="0" applyNumberFormat="1" applyFont="1" applyBorder="1" applyAlignment="1">
      <alignment vertical="top" wrapText="1"/>
    </xf>
    <xf numFmtId="4" fontId="17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vertical="top" wrapText="1"/>
    </xf>
    <xf numFmtId="49" fontId="17" fillId="0" borderId="0" xfId="0" applyNumberFormat="1" applyFont="1" applyBorder="1" applyAlignment="1">
      <alignment horizontal="center" vertical="top" wrapText="1"/>
    </xf>
    <xf numFmtId="0" fontId="17" fillId="8" borderId="34" xfId="0" applyFont="1" applyFill="1" applyBorder="1" applyAlignment="1">
      <alignment vertical="top" wrapText="1"/>
    </xf>
    <xf numFmtId="4" fontId="17" fillId="8" borderId="14" xfId="0" applyNumberFormat="1" applyFont="1" applyFill="1" applyBorder="1" applyAlignment="1">
      <alignment vertical="top" wrapText="1"/>
    </xf>
    <xf numFmtId="4" fontId="17" fillId="8" borderId="14" xfId="0" applyNumberFormat="1" applyFont="1" applyFill="1" applyBorder="1" applyAlignment="1">
      <alignment horizontal="right" vertical="top" wrapText="1"/>
    </xf>
    <xf numFmtId="49" fontId="16" fillId="0" borderId="52" xfId="0" applyNumberFormat="1" applyFont="1" applyBorder="1" applyAlignment="1">
      <alignment vertical="top" wrapText="1"/>
    </xf>
    <xf numFmtId="4" fontId="8" fillId="0" borderId="63" xfId="0" applyNumberFormat="1" applyFont="1" applyBorder="1" applyAlignment="1">
      <alignment horizontal="right" vertical="top" wrapText="1"/>
    </xf>
    <xf numFmtId="49" fontId="8" fillId="0" borderId="16" xfId="0" applyNumberFormat="1" applyFont="1" applyBorder="1" applyAlignment="1">
      <alignment horizontal="left" vertical="top" wrapText="1"/>
    </xf>
    <xf numFmtId="4" fontId="8" fillId="0" borderId="45" xfId="0" applyNumberFormat="1" applyFont="1" applyBorder="1" applyAlignment="1">
      <alignment horizontal="right" vertical="top" wrapText="1"/>
    </xf>
    <xf numFmtId="4" fontId="8" fillId="0" borderId="60" xfId="0" applyNumberFormat="1" applyFont="1" applyBorder="1" applyAlignment="1">
      <alignment horizontal="right" vertical="top" wrapText="1"/>
    </xf>
    <xf numFmtId="49" fontId="7" fillId="2" borderId="24" xfId="0" applyNumberFormat="1" applyFont="1" applyFill="1" applyBorder="1" applyAlignment="1">
      <alignment horizontal="left" vertical="top" wrapText="1" shrinkToFit="1"/>
    </xf>
    <xf numFmtId="49" fontId="7" fillId="2" borderId="24" xfId="0" applyNumberFormat="1" applyFont="1" applyFill="1" applyBorder="1" applyAlignment="1">
      <alignment horizontal="left" vertical="top" wrapText="1"/>
    </xf>
    <xf numFmtId="49" fontId="8" fillId="0" borderId="28" xfId="0" applyNumberFormat="1" applyFont="1" applyFill="1" applyBorder="1" applyAlignment="1">
      <alignment horizontal="left" vertical="top" wrapText="1"/>
    </xf>
    <xf numFmtId="4" fontId="7" fillId="6" borderId="5" xfId="0" applyNumberFormat="1" applyFont="1" applyFill="1" applyBorder="1" applyAlignment="1">
      <alignment horizontal="right" vertical="top"/>
    </xf>
    <xf numFmtId="4" fontId="8" fillId="6" borderId="5" xfId="0" applyNumberFormat="1" applyFont="1" applyFill="1" applyBorder="1" applyAlignment="1">
      <alignment horizontal="right" vertical="top"/>
    </xf>
    <xf numFmtId="4" fontId="8" fillId="6" borderId="15" xfId="0" applyNumberFormat="1" applyFont="1" applyFill="1" applyBorder="1" applyAlignment="1">
      <alignment horizontal="right" vertical="top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2" fontId="8" fillId="5" borderId="28" xfId="0" applyNumberFormat="1" applyFont="1" applyFill="1" applyBorder="1" applyAlignment="1">
      <alignment horizontal="left" vertical="top" wrapText="1" shrinkToFit="1"/>
    </xf>
    <xf numFmtId="0" fontId="8" fillId="0" borderId="28" xfId="0" applyFont="1" applyBorder="1" applyAlignment="1">
      <alignment vertical="top" wrapText="1"/>
    </xf>
    <xf numFmtId="49" fontId="8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left" vertical="top"/>
    </xf>
    <xf numFmtId="0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4" fontId="8" fillId="0" borderId="20" xfId="0" applyNumberFormat="1" applyFont="1" applyFill="1" applyBorder="1" applyAlignment="1">
      <alignment vertical="top" wrapText="1"/>
    </xf>
    <xf numFmtId="4" fontId="8" fillId="0" borderId="70" xfId="0" applyNumberFormat="1" applyFont="1" applyBorder="1" applyAlignment="1">
      <alignment vertical="top" wrapText="1"/>
    </xf>
    <xf numFmtId="4" fontId="8" fillId="0" borderId="73" xfId="0" applyNumberFormat="1" applyFont="1" applyBorder="1" applyAlignment="1">
      <alignment vertical="top" wrapText="1"/>
    </xf>
    <xf numFmtId="4" fontId="8" fillId="0" borderId="69" xfId="0" applyNumberFormat="1" applyFont="1" applyBorder="1" applyAlignment="1">
      <alignment vertical="top" wrapText="1"/>
    </xf>
    <xf numFmtId="4" fontId="8" fillId="0" borderId="31" xfId="0" applyNumberFormat="1" applyFont="1" applyBorder="1" applyAlignment="1">
      <alignment vertical="top" wrapText="1"/>
    </xf>
    <xf numFmtId="4" fontId="8" fillId="0" borderId="31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4" fontId="7" fillId="0" borderId="71" xfId="0" applyNumberFormat="1" applyFont="1" applyBorder="1" applyAlignment="1">
      <alignment horizontal="right" vertical="top" wrapText="1"/>
    </xf>
    <xf numFmtId="4" fontId="7" fillId="0" borderId="70" xfId="0" applyNumberFormat="1" applyFont="1" applyBorder="1" applyAlignment="1">
      <alignment horizontal="right" vertical="top" wrapText="1"/>
    </xf>
    <xf numFmtId="4" fontId="8" fillId="0" borderId="70" xfId="0" applyNumberFormat="1" applyFont="1" applyBorder="1" applyAlignment="1">
      <alignment horizontal="right" vertical="top" wrapText="1"/>
    </xf>
    <xf numFmtId="4" fontId="8" fillId="0" borderId="69" xfId="0" applyNumberFormat="1" applyFont="1" applyBorder="1" applyAlignment="1">
      <alignment horizontal="right" vertical="top" wrapText="1"/>
    </xf>
    <xf numFmtId="4" fontId="7" fillId="2" borderId="71" xfId="0" applyNumberFormat="1" applyFont="1" applyFill="1" applyBorder="1" applyAlignment="1">
      <alignment vertical="top" wrapText="1"/>
    </xf>
    <xf numFmtId="4" fontId="7" fillId="2" borderId="70" xfId="0" applyNumberFormat="1" applyFont="1" applyFill="1" applyBorder="1" applyAlignment="1">
      <alignment vertical="top" wrapText="1"/>
    </xf>
    <xf numFmtId="4" fontId="7" fillId="2" borderId="69" xfId="0" applyNumberFormat="1" applyFont="1" applyFill="1" applyBorder="1" applyAlignment="1">
      <alignment vertical="top" wrapText="1"/>
    </xf>
    <xf numFmtId="4" fontId="8" fillId="0" borderId="17" xfId="0" applyNumberFormat="1" applyFont="1" applyBorder="1" applyAlignment="1">
      <alignment vertical="top" wrapText="1"/>
    </xf>
    <xf numFmtId="4" fontId="7" fillId="2" borderId="16" xfId="0" applyNumberFormat="1" applyFont="1" applyFill="1" applyBorder="1" applyAlignment="1">
      <alignment vertical="top" wrapText="1"/>
    </xf>
    <xf numFmtId="4" fontId="7" fillId="2" borderId="20" xfId="0" applyNumberFormat="1" applyFont="1" applyFill="1" applyBorder="1" applyAlignment="1">
      <alignment vertical="top" wrapText="1"/>
    </xf>
    <xf numFmtId="4" fontId="7" fillId="0" borderId="71" xfId="0" applyNumberFormat="1" applyFont="1" applyBorder="1" applyAlignment="1">
      <alignment vertical="top" wrapText="1"/>
    </xf>
    <xf numFmtId="4" fontId="8" fillId="0" borderId="36" xfId="0" applyNumberFormat="1" applyFont="1" applyBorder="1" applyAlignment="1">
      <alignment vertical="top" wrapText="1"/>
    </xf>
    <xf numFmtId="4" fontId="7" fillId="2" borderId="23" xfId="0" applyNumberFormat="1" applyFont="1" applyFill="1" applyBorder="1" applyAlignment="1">
      <alignment vertical="top" wrapText="1"/>
    </xf>
    <xf numFmtId="4" fontId="8" fillId="0" borderId="11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76" xfId="0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vertical="top" wrapText="1"/>
    </xf>
    <xf numFmtId="4" fontId="7" fillId="0" borderId="23" xfId="0" applyNumberFormat="1" applyFont="1" applyBorder="1" applyAlignment="1">
      <alignment vertical="top" wrapText="1"/>
    </xf>
    <xf numFmtId="4" fontId="7" fillId="2" borderId="73" xfId="0" applyNumberFormat="1" applyFont="1" applyFill="1" applyBorder="1" applyAlignment="1">
      <alignment vertical="top" wrapText="1"/>
    </xf>
    <xf numFmtId="4" fontId="8" fillId="0" borderId="28" xfId="0" applyNumberFormat="1" applyFont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8" fillId="0" borderId="23" xfId="0" applyNumberFormat="1" applyFont="1" applyFill="1" applyBorder="1" applyAlignment="1">
      <alignment vertical="top" wrapText="1"/>
    </xf>
    <xf numFmtId="4" fontId="7" fillId="0" borderId="16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4" fontId="7" fillId="0" borderId="20" xfId="0" applyNumberFormat="1" applyFont="1" applyFill="1" applyBorder="1" applyAlignment="1">
      <alignment vertical="top" wrapText="1"/>
    </xf>
    <xf numFmtId="4" fontId="7" fillId="0" borderId="23" xfId="0" applyNumberFormat="1" applyFont="1" applyFill="1" applyBorder="1" applyAlignment="1">
      <alignment vertical="top" wrapText="1"/>
    </xf>
    <xf numFmtId="49" fontId="7" fillId="0" borderId="25" xfId="0" applyNumberFormat="1" applyFont="1" applyFill="1" applyBorder="1" applyAlignment="1">
      <alignment horizontal="left" vertical="top" wrapText="1" shrinkToFit="1"/>
    </xf>
    <xf numFmtId="49" fontId="7" fillId="2" borderId="24" xfId="0" applyNumberFormat="1" applyFont="1" applyFill="1" applyBorder="1" applyAlignment="1">
      <alignment horizontal="left" vertical="top" wrapText="1" shrinkToFit="1"/>
    </xf>
    <xf numFmtId="0" fontId="18" fillId="2" borderId="12" xfId="0" applyFont="1" applyFill="1" applyBorder="1" applyAlignment="1">
      <alignment vertical="top" wrapText="1"/>
    </xf>
    <xf numFmtId="0" fontId="18" fillId="2" borderId="12" xfId="0" applyFont="1" applyFill="1" applyBorder="1" applyAlignment="1">
      <alignment horizontal="center" vertical="top" wrapText="1"/>
    </xf>
    <xf numFmtId="4" fontId="18" fillId="2" borderId="22" xfId="0" applyNumberFormat="1" applyFont="1" applyFill="1" applyBorder="1" applyAlignment="1">
      <alignment vertical="top" wrapText="1"/>
    </xf>
    <xf numFmtId="4" fontId="18" fillId="2" borderId="17" xfId="0" applyNumberFormat="1" applyFont="1" applyFill="1" applyBorder="1" applyAlignment="1">
      <alignment vertical="top"/>
    </xf>
    <xf numFmtId="0" fontId="18" fillId="0" borderId="12" xfId="0" applyFont="1" applyFill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4" fontId="18" fillId="0" borderId="22" xfId="0" applyNumberFormat="1" applyFont="1" applyFill="1" applyBorder="1" applyAlignment="1">
      <alignment vertical="top" wrapText="1"/>
    </xf>
    <xf numFmtId="4" fontId="18" fillId="0" borderId="17" xfId="0" applyNumberFormat="1" applyFont="1" applyFill="1" applyBorder="1" applyAlignment="1">
      <alignment vertical="top"/>
    </xf>
    <xf numFmtId="0" fontId="19" fillId="0" borderId="16" xfId="0" applyFont="1" applyBorder="1" applyAlignment="1">
      <alignment vertical="top" wrapText="1"/>
    </xf>
    <xf numFmtId="4" fontId="18" fillId="0" borderId="16" xfId="0" applyNumberFormat="1" applyFont="1" applyFill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4" fontId="19" fillId="0" borderId="35" xfId="0" applyNumberFormat="1" applyFont="1" applyBorder="1" applyAlignment="1">
      <alignment horizontal="right" vertical="top" wrapText="1"/>
    </xf>
    <xf numFmtId="0" fontId="18" fillId="0" borderId="25" xfId="0" applyFont="1" applyBorder="1" applyAlignment="1">
      <alignment horizontal="center" vertical="top" wrapText="1"/>
    </xf>
    <xf numFmtId="4" fontId="19" fillId="0" borderId="40" xfId="0" applyNumberFormat="1" applyFont="1" applyFill="1" applyBorder="1" applyAlignment="1">
      <alignment horizontal="right" vertical="top" wrapText="1"/>
    </xf>
    <xf numFmtId="4" fontId="19" fillId="0" borderId="57" xfId="0" applyNumberFormat="1" applyFont="1" applyFill="1" applyBorder="1" applyAlignment="1">
      <alignment horizontal="right" vertical="top" wrapText="1"/>
    </xf>
    <xf numFmtId="49" fontId="18" fillId="5" borderId="16" xfId="0" applyNumberFormat="1" applyFont="1" applyFill="1" applyBorder="1" applyAlignment="1">
      <alignment horizontal="center" vertical="top" wrapText="1" shrinkToFit="1"/>
    </xf>
    <xf numFmtId="49" fontId="18" fillId="5" borderId="20" xfId="0" applyNumberFormat="1" applyFont="1" applyFill="1" applyBorder="1" applyAlignment="1">
      <alignment horizontal="center" vertical="top" wrapText="1" shrinkToFit="1"/>
    </xf>
    <xf numFmtId="49" fontId="19" fillId="5" borderId="20" xfId="0" applyNumberFormat="1" applyFont="1" applyFill="1" applyBorder="1" applyAlignment="1">
      <alignment horizontal="left" vertical="top" wrapText="1" shrinkToFit="1"/>
    </xf>
    <xf numFmtId="4" fontId="19" fillId="5" borderId="57" xfId="0" applyNumberFormat="1" applyFont="1" applyFill="1" applyBorder="1" applyAlignment="1">
      <alignment horizontal="right" vertical="top" wrapText="1" shrinkToFit="1"/>
    </xf>
    <xf numFmtId="4" fontId="19" fillId="5" borderId="47" xfId="0" applyNumberFormat="1" applyFont="1" applyFill="1" applyBorder="1" applyAlignment="1">
      <alignment horizontal="right" vertical="top" wrapText="1" shrinkToFit="1"/>
    </xf>
    <xf numFmtId="49" fontId="19" fillId="5" borderId="20" xfId="0" applyNumberFormat="1" applyFont="1" applyFill="1" applyBorder="1" applyAlignment="1">
      <alignment vertical="top" wrapText="1" shrinkToFit="1"/>
    </xf>
    <xf numFmtId="4" fontId="18" fillId="0" borderId="11" xfId="0" applyNumberFormat="1" applyFont="1" applyFill="1" applyBorder="1" applyAlignment="1">
      <alignment vertical="top"/>
    </xf>
    <xf numFmtId="0" fontId="19" fillId="0" borderId="11" xfId="0" applyFont="1" applyFill="1" applyBorder="1" applyAlignment="1">
      <alignment vertical="top" wrapText="1"/>
    </xf>
    <xf numFmtId="4" fontId="19" fillId="0" borderId="52" xfId="0" applyNumberFormat="1" applyFont="1" applyFill="1" applyBorder="1" applyAlignment="1">
      <alignment horizontal="right" vertical="top" wrapText="1"/>
    </xf>
    <xf numFmtId="4" fontId="19" fillId="0" borderId="2" xfId="0" applyNumberFormat="1" applyFont="1" applyFill="1" applyBorder="1" applyAlignment="1">
      <alignment horizontal="right" vertical="top" wrapText="1"/>
    </xf>
    <xf numFmtId="4" fontId="19" fillId="5" borderId="52" xfId="0" applyNumberFormat="1" applyFont="1" applyFill="1" applyBorder="1" applyAlignment="1">
      <alignment horizontal="right" vertical="top" wrapText="1" shrinkToFit="1"/>
    </xf>
    <xf numFmtId="4" fontId="19" fillId="5" borderId="59" xfId="0" applyNumberFormat="1" applyFont="1" applyFill="1" applyBorder="1" applyAlignment="1">
      <alignment horizontal="right" vertical="top" wrapText="1" shrinkToFit="1"/>
    </xf>
    <xf numFmtId="4" fontId="19" fillId="0" borderId="40" xfId="0" applyNumberFormat="1" applyFont="1" applyBorder="1" applyAlignment="1">
      <alignment horizontal="right" vertical="top" wrapText="1"/>
    </xf>
    <xf numFmtId="4" fontId="19" fillId="0" borderId="57" xfId="0" applyNumberFormat="1" applyFont="1" applyBorder="1" applyAlignment="1">
      <alignment horizontal="right" vertical="top" wrapText="1"/>
    </xf>
    <xf numFmtId="0" fontId="20" fillId="0" borderId="0" xfId="0" applyFont="1"/>
    <xf numFmtId="4" fontId="18" fillId="0" borderId="24" xfId="0" applyNumberFormat="1" applyFont="1" applyFill="1" applyBorder="1" applyAlignment="1">
      <alignment vertical="top"/>
    </xf>
    <xf numFmtId="4" fontId="19" fillId="5" borderId="45" xfId="0" applyNumberFormat="1" applyFont="1" applyFill="1" applyBorder="1" applyAlignment="1">
      <alignment horizontal="right" vertical="top" wrapText="1" shrinkToFit="1"/>
    </xf>
    <xf numFmtId="4" fontId="19" fillId="0" borderId="67" xfId="0" applyNumberFormat="1" applyFont="1" applyBorder="1" applyAlignment="1">
      <alignment horizontal="right" vertical="top" wrapText="1"/>
    </xf>
    <xf numFmtId="4" fontId="19" fillId="0" borderId="8" xfId="0" applyNumberFormat="1" applyFont="1" applyBorder="1" applyAlignment="1">
      <alignment horizontal="right" vertical="top" wrapText="1"/>
    </xf>
    <xf numFmtId="0" fontId="18" fillId="0" borderId="23" xfId="0" applyFont="1" applyBorder="1" applyAlignment="1">
      <alignment horizontal="center" vertical="top" wrapText="1"/>
    </xf>
    <xf numFmtId="4" fontId="19" fillId="0" borderId="14" xfId="0" applyNumberFormat="1" applyFont="1" applyBorder="1" applyAlignment="1">
      <alignment horizontal="right" vertical="top" wrapText="1"/>
    </xf>
    <xf numFmtId="49" fontId="19" fillId="5" borderId="16" xfId="0" applyNumberFormat="1" applyFont="1" applyFill="1" applyBorder="1" applyAlignment="1">
      <alignment horizontal="left" vertical="top" wrapText="1" shrinkToFit="1"/>
    </xf>
    <xf numFmtId="4" fontId="19" fillId="5" borderId="60" xfId="0" applyNumberFormat="1" applyFont="1" applyFill="1" applyBorder="1" applyAlignment="1">
      <alignment horizontal="right" vertical="top" wrapText="1" shrinkToFit="1"/>
    </xf>
    <xf numFmtId="0" fontId="18" fillId="0" borderId="28" xfId="0" applyFont="1" applyBorder="1" applyAlignment="1">
      <alignment horizontal="center" vertical="top" wrapText="1"/>
    </xf>
    <xf numFmtId="0" fontId="19" fillId="0" borderId="28" xfId="0" applyFont="1" applyFill="1" applyBorder="1" applyAlignment="1">
      <alignment vertical="top" wrapText="1"/>
    </xf>
    <xf numFmtId="4" fontId="19" fillId="0" borderId="51" xfId="0" applyNumberFormat="1" applyFont="1" applyFill="1" applyBorder="1" applyAlignment="1">
      <alignment horizontal="right" vertical="top" wrapText="1"/>
    </xf>
    <xf numFmtId="4" fontId="19" fillId="0" borderId="3" xfId="0" applyNumberFormat="1" applyFont="1" applyFill="1" applyBorder="1" applyAlignment="1">
      <alignment horizontal="right" vertical="top" wrapText="1"/>
    </xf>
    <xf numFmtId="0" fontId="7" fillId="3" borderId="12" xfId="0" applyFont="1" applyFill="1" applyBorder="1" applyAlignment="1">
      <alignment horizontal="center" vertical="top" wrapText="1"/>
    </xf>
    <xf numFmtId="4" fontId="7" fillId="3" borderId="17" xfId="0" applyNumberFormat="1" applyFont="1" applyFill="1" applyBorder="1" applyAlignment="1">
      <alignment vertical="top"/>
    </xf>
    <xf numFmtId="0" fontId="7" fillId="2" borderId="12" xfId="0" applyFont="1" applyFill="1" applyBorder="1" applyAlignment="1">
      <alignment horizontal="center" vertical="top" wrapText="1"/>
    </xf>
    <xf numFmtId="4" fontId="7" fillId="2" borderId="17" xfId="0" applyNumberFormat="1" applyFont="1" applyFill="1" applyBorder="1" applyAlignment="1">
      <alignment vertical="top"/>
    </xf>
    <xf numFmtId="0" fontId="7" fillId="0" borderId="12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4" fontId="8" fillId="0" borderId="13" xfId="0" applyNumberFormat="1" applyFont="1" applyFill="1" applyBorder="1" applyAlignment="1">
      <alignment vertical="top" wrapText="1"/>
    </xf>
    <xf numFmtId="4" fontId="7" fillId="4" borderId="5" xfId="0" applyNumberFormat="1" applyFont="1" applyFill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" fontId="8" fillId="0" borderId="44" xfId="0" applyNumberFormat="1" applyFont="1" applyBorder="1" applyAlignment="1">
      <alignment horizontal="right" vertical="top" wrapText="1"/>
    </xf>
    <xf numFmtId="0" fontId="8" fillId="0" borderId="5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4" fontId="8" fillId="4" borderId="35" xfId="0" applyNumberFormat="1" applyFont="1" applyFill="1" applyBorder="1" applyAlignment="1">
      <alignment vertical="top" wrapText="1"/>
    </xf>
    <xf numFmtId="0" fontId="7" fillId="0" borderId="16" xfId="0" applyFont="1" applyBorder="1" applyAlignment="1">
      <alignment horizontal="center" vertical="top" wrapText="1"/>
    </xf>
    <xf numFmtId="4" fontId="8" fillId="0" borderId="47" xfId="0" applyNumberFormat="1" applyFont="1" applyBorder="1" applyAlignment="1">
      <alignment horizontal="right" vertical="top" wrapText="1"/>
    </xf>
    <xf numFmtId="4" fontId="7" fillId="0" borderId="20" xfId="0" applyNumberFormat="1" applyFont="1" applyFill="1" applyBorder="1" applyAlignment="1">
      <alignment vertical="top"/>
    </xf>
    <xf numFmtId="4" fontId="7" fillId="2" borderId="24" xfId="0" applyNumberFormat="1" applyFont="1" applyFill="1" applyBorder="1" applyAlignment="1">
      <alignment vertical="top"/>
    </xf>
    <xf numFmtId="4" fontId="7" fillId="2" borderId="20" xfId="0" applyNumberFormat="1" applyFont="1" applyFill="1" applyBorder="1" applyAlignment="1">
      <alignment vertical="top"/>
    </xf>
    <xf numFmtId="4" fontId="7" fillId="2" borderId="25" xfId="0" applyNumberFormat="1" applyFont="1" applyFill="1" applyBorder="1" applyAlignment="1">
      <alignment vertical="top"/>
    </xf>
    <xf numFmtId="0" fontId="7" fillId="0" borderId="24" xfId="0" applyFont="1" applyFill="1" applyBorder="1" applyAlignment="1">
      <alignment horizontal="center" vertical="top" wrapText="1"/>
    </xf>
    <xf numFmtId="4" fontId="8" fillId="0" borderId="67" xfId="0" applyNumberFormat="1" applyFont="1" applyFill="1" applyBorder="1" applyAlignment="1">
      <alignment vertical="top"/>
    </xf>
    <xf numFmtId="4" fontId="8" fillId="0" borderId="60" xfId="0" applyNumberFormat="1" applyFont="1" applyFill="1" applyBorder="1" applyAlignment="1">
      <alignment vertical="top"/>
    </xf>
    <xf numFmtId="4" fontId="8" fillId="0" borderId="46" xfId="0" applyNumberFormat="1" applyFont="1" applyFill="1" applyBorder="1" applyAlignment="1">
      <alignment vertical="top"/>
    </xf>
    <xf numFmtId="4" fontId="7" fillId="0" borderId="28" xfId="0" applyNumberFormat="1" applyFont="1" applyFill="1" applyBorder="1" applyAlignment="1">
      <alignment vertical="top"/>
    </xf>
    <xf numFmtId="4" fontId="8" fillId="0" borderId="30" xfId="0" applyNumberFormat="1" applyFont="1" applyBorder="1" applyAlignment="1">
      <alignment vertical="top"/>
    </xf>
    <xf numFmtId="49" fontId="7" fillId="0" borderId="24" xfId="0" applyNumberFormat="1" applyFont="1" applyFill="1" applyBorder="1" applyAlignment="1">
      <alignment horizontal="center" vertical="top" wrapText="1" shrinkToFit="1"/>
    </xf>
    <xf numFmtId="4" fontId="7" fillId="0" borderId="24" xfId="0" applyNumberFormat="1" applyFont="1" applyFill="1" applyBorder="1" applyAlignment="1">
      <alignment vertical="top"/>
    </xf>
    <xf numFmtId="49" fontId="7" fillId="0" borderId="20" xfId="0" applyNumberFormat="1" applyFont="1" applyFill="1" applyBorder="1" applyAlignment="1">
      <alignment horizontal="center" vertical="top" wrapText="1" shrinkToFit="1"/>
    </xf>
    <xf numFmtId="4" fontId="7" fillId="0" borderId="11" xfId="0" applyNumberFormat="1" applyFont="1" applyFill="1" applyBorder="1" applyAlignment="1">
      <alignment vertical="top"/>
    </xf>
    <xf numFmtId="49" fontId="7" fillId="5" borderId="20" xfId="0" applyNumberFormat="1" applyFont="1" applyFill="1" applyBorder="1" applyAlignment="1">
      <alignment horizontal="center" vertical="top" wrapText="1" shrinkToFit="1"/>
    </xf>
    <xf numFmtId="49" fontId="7" fillId="5" borderId="55" xfId="0" applyNumberFormat="1" applyFont="1" applyFill="1" applyBorder="1" applyAlignment="1">
      <alignment horizontal="center" vertical="top" wrapText="1" shrinkToFit="1"/>
    </xf>
    <xf numFmtId="49" fontId="7" fillId="5" borderId="12" xfId="0" applyNumberFormat="1" applyFont="1" applyFill="1" applyBorder="1" applyAlignment="1">
      <alignment horizontal="center" vertical="top" wrapText="1" shrinkToFit="1"/>
    </xf>
    <xf numFmtId="4" fontId="8" fillId="0" borderId="29" xfId="0" applyNumberFormat="1" applyFont="1" applyBorder="1" applyAlignment="1">
      <alignment vertical="top"/>
    </xf>
    <xf numFmtId="4" fontId="8" fillId="0" borderId="10" xfId="0" applyNumberFormat="1" applyFont="1" applyBorder="1" applyAlignment="1">
      <alignment vertical="top"/>
    </xf>
    <xf numFmtId="49" fontId="7" fillId="5" borderId="23" xfId="0" applyNumberFormat="1" applyFont="1" applyFill="1" applyBorder="1" applyAlignment="1">
      <alignment horizontal="center" vertical="top" wrapText="1" shrinkToFit="1"/>
    </xf>
    <xf numFmtId="4" fontId="7" fillId="0" borderId="23" xfId="0" applyNumberFormat="1" applyFont="1" applyFill="1" applyBorder="1" applyAlignment="1">
      <alignment vertical="top"/>
    </xf>
    <xf numFmtId="4" fontId="7" fillId="2" borderId="47" xfId="0" applyNumberFormat="1" applyFont="1" applyFill="1" applyBorder="1" applyAlignment="1">
      <alignment vertical="top"/>
    </xf>
    <xf numFmtId="4" fontId="7" fillId="2" borderId="40" xfId="0" applyNumberFormat="1" applyFont="1" applyFill="1" applyBorder="1" applyAlignment="1">
      <alignment vertical="top"/>
    </xf>
    <xf numFmtId="4" fontId="7" fillId="2" borderId="28" xfId="0" applyNumberFormat="1" applyFont="1" applyFill="1" applyBorder="1" applyAlignment="1">
      <alignment vertical="top"/>
    </xf>
    <xf numFmtId="4" fontId="8" fillId="0" borderId="7" xfId="0" applyNumberFormat="1" applyFont="1" applyBorder="1" applyAlignment="1">
      <alignment vertical="top"/>
    </xf>
    <xf numFmtId="4" fontId="8" fillId="0" borderId="50" xfId="0" applyNumberFormat="1" applyFont="1" applyBorder="1" applyAlignment="1">
      <alignment vertical="top"/>
    </xf>
    <xf numFmtId="49" fontId="7" fillId="5" borderId="17" xfId="0" applyNumberFormat="1" applyFont="1" applyFill="1" applyBorder="1" applyAlignment="1">
      <alignment horizontal="center" vertical="top" wrapText="1" shrinkToFit="1"/>
    </xf>
    <xf numFmtId="49" fontId="7" fillId="0" borderId="25" xfId="0" applyNumberFormat="1" applyFont="1" applyFill="1" applyBorder="1" applyAlignment="1">
      <alignment horizontal="center" vertical="top" wrapText="1" shrinkToFit="1"/>
    </xf>
    <xf numFmtId="4" fontId="7" fillId="2" borderId="49" xfId="0" applyNumberFormat="1" applyFont="1" applyFill="1" applyBorder="1" applyAlignment="1">
      <alignment vertical="top"/>
    </xf>
    <xf numFmtId="4" fontId="7" fillId="2" borderId="66" xfId="0" applyNumberFormat="1" applyFont="1" applyFill="1" applyBorder="1" applyAlignment="1">
      <alignment vertical="top"/>
    </xf>
    <xf numFmtId="49" fontId="7" fillId="5" borderId="28" xfId="0" applyNumberFormat="1" applyFont="1" applyFill="1" applyBorder="1" applyAlignment="1">
      <alignment horizontal="center" vertical="top" wrapText="1" shrinkToFit="1"/>
    </xf>
    <xf numFmtId="4" fontId="8" fillId="0" borderId="9" xfId="0" applyNumberFormat="1" applyFont="1" applyBorder="1" applyAlignment="1">
      <alignment vertical="top"/>
    </xf>
    <xf numFmtId="4" fontId="7" fillId="0" borderId="12" xfId="0" applyNumberFormat="1" applyFont="1" applyBorder="1" applyAlignment="1">
      <alignment vertical="top"/>
    </xf>
    <xf numFmtId="49" fontId="7" fillId="5" borderId="25" xfId="0" applyNumberFormat="1" applyFont="1" applyFill="1" applyBorder="1" applyAlignment="1">
      <alignment horizontal="center" vertical="top" wrapText="1" shrinkToFit="1"/>
    </xf>
    <xf numFmtId="4" fontId="8" fillId="0" borderId="21" xfId="0" applyNumberFormat="1" applyFont="1" applyBorder="1" applyAlignment="1">
      <alignment vertical="top"/>
    </xf>
    <xf numFmtId="4" fontId="7" fillId="0" borderId="25" xfId="0" applyNumberFormat="1" applyFont="1" applyBorder="1" applyAlignment="1">
      <alignment vertical="top"/>
    </xf>
    <xf numFmtId="4" fontId="7" fillId="2" borderId="16" xfId="0" applyNumberFormat="1" applyFont="1" applyFill="1" applyBorder="1" applyAlignment="1">
      <alignment vertical="top"/>
    </xf>
    <xf numFmtId="49" fontId="8" fillId="5" borderId="16" xfId="0" applyNumberFormat="1" applyFont="1" applyFill="1" applyBorder="1" applyAlignment="1">
      <alignment horizontal="left" vertical="top" wrapText="1"/>
    </xf>
    <xf numFmtId="4" fontId="8" fillId="5" borderId="67" xfId="0" applyNumberFormat="1" applyFont="1" applyFill="1" applyBorder="1" applyAlignment="1">
      <alignment horizontal="right" vertical="top" wrapText="1"/>
    </xf>
    <xf numFmtId="4" fontId="8" fillId="5" borderId="60" xfId="0" applyNumberFormat="1" applyFont="1" applyFill="1" applyBorder="1" applyAlignment="1">
      <alignment horizontal="right" vertical="top" wrapText="1"/>
    </xf>
    <xf numFmtId="4" fontId="7" fillId="0" borderId="16" xfId="0" applyNumberFormat="1" applyFont="1" applyBorder="1" applyAlignment="1">
      <alignment vertical="top"/>
    </xf>
    <xf numFmtId="4" fontId="7" fillId="0" borderId="28" xfId="0" applyNumberFormat="1" applyFont="1" applyBorder="1" applyAlignment="1">
      <alignment vertical="top"/>
    </xf>
    <xf numFmtId="49" fontId="7" fillId="5" borderId="11" xfId="0" applyNumberFormat="1" applyFont="1" applyFill="1" applyBorder="1" applyAlignment="1">
      <alignment horizontal="center" vertical="top" wrapText="1" shrinkToFit="1"/>
    </xf>
    <xf numFmtId="0" fontId="21" fillId="0" borderId="2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4" fontId="21" fillId="2" borderId="5" xfId="0" applyNumberFormat="1" applyFont="1" applyFill="1" applyBorder="1" applyAlignment="1">
      <alignment horizontal="right" vertical="top" wrapText="1"/>
    </xf>
    <xf numFmtId="4" fontId="21" fillId="2" borderId="22" xfId="0" applyNumberFormat="1" applyFont="1" applyFill="1" applyBorder="1" applyAlignment="1">
      <alignment horizontal="right" vertical="top" wrapText="1"/>
    </xf>
    <xf numFmtId="4" fontId="22" fillId="0" borderId="3" xfId="0" applyNumberFormat="1" applyFont="1" applyBorder="1" applyAlignment="1">
      <alignment horizontal="right" vertical="top" wrapText="1"/>
    </xf>
    <xf numFmtId="4" fontId="22" fillId="0" borderId="73" xfId="0" applyNumberFormat="1" applyFont="1" applyBorder="1" applyAlignment="1">
      <alignment horizontal="right" vertical="top" wrapText="1"/>
    </xf>
    <xf numFmtId="4" fontId="22" fillId="0" borderId="1" xfId="0" applyNumberFormat="1" applyFont="1" applyBorder="1" applyAlignment="1">
      <alignment horizontal="right" vertical="top" wrapText="1"/>
    </xf>
    <xf numFmtId="4" fontId="22" fillId="0" borderId="70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horizontal="right" vertical="top" wrapText="1"/>
    </xf>
    <xf numFmtId="4" fontId="22" fillId="0" borderId="77" xfId="0" applyNumberFormat="1" applyFont="1" applyBorder="1" applyAlignment="1">
      <alignment horizontal="right" vertical="top" wrapText="1"/>
    </xf>
    <xf numFmtId="4" fontId="21" fillId="7" borderId="5" xfId="0" applyNumberFormat="1" applyFont="1" applyFill="1" applyBorder="1" applyAlignment="1">
      <alignment horizontal="right" vertical="top" wrapText="1"/>
    </xf>
    <xf numFmtId="4" fontId="22" fillId="0" borderId="6" xfId="0" applyNumberFormat="1" applyFont="1" applyBorder="1" applyAlignment="1">
      <alignment horizontal="right" vertical="top" wrapText="1"/>
    </xf>
    <xf numFmtId="4" fontId="22" fillId="0" borderId="69" xfId="0" applyNumberFormat="1" applyFont="1" applyBorder="1" applyAlignment="1">
      <alignment horizontal="right" vertical="top" wrapText="1"/>
    </xf>
    <xf numFmtId="4" fontId="21" fillId="0" borderId="5" xfId="0" applyNumberFormat="1" applyFont="1" applyBorder="1" applyAlignment="1">
      <alignment horizontal="right" vertical="top" wrapText="1"/>
    </xf>
    <xf numFmtId="4" fontId="21" fillId="0" borderId="37" xfId="0" applyNumberFormat="1" applyFont="1" applyBorder="1" applyAlignment="1">
      <alignment horizontal="right" vertical="top" wrapText="1"/>
    </xf>
    <xf numFmtId="4" fontId="21" fillId="0" borderId="18" xfId="0" applyNumberFormat="1" applyFont="1" applyBorder="1" applyAlignment="1">
      <alignment horizontal="right" vertical="top" wrapText="1"/>
    </xf>
    <xf numFmtId="4" fontId="21" fillId="0" borderId="63" xfId="0" applyNumberFormat="1" applyFont="1" applyBorder="1" applyAlignment="1">
      <alignment horizontal="right" vertical="top" wrapText="1"/>
    </xf>
    <xf numFmtId="4" fontId="21" fillId="2" borderId="37" xfId="0" applyNumberFormat="1" applyFont="1" applyFill="1" applyBorder="1" applyAlignment="1">
      <alignment horizontal="right" vertical="top" wrapText="1"/>
    </xf>
    <xf numFmtId="4" fontId="21" fillId="0" borderId="6" xfId="0" applyNumberFormat="1" applyFont="1" applyBorder="1" applyAlignment="1">
      <alignment horizontal="right" vertical="top" wrapText="1"/>
    </xf>
    <xf numFmtId="4" fontId="21" fillId="0" borderId="69" xfId="0" applyNumberFormat="1" applyFont="1" applyBorder="1" applyAlignment="1">
      <alignment horizontal="right" vertical="top" wrapText="1"/>
    </xf>
    <xf numFmtId="4" fontId="21" fillId="0" borderId="15" xfId="0" applyNumberFormat="1" applyFont="1" applyBorder="1" applyAlignment="1">
      <alignment horizontal="right" vertical="top" wrapText="1"/>
    </xf>
    <xf numFmtId="4" fontId="21" fillId="0" borderId="76" xfId="0" applyNumberFormat="1" applyFont="1" applyBorder="1" applyAlignment="1">
      <alignment horizontal="right" vertical="top" wrapText="1"/>
    </xf>
    <xf numFmtId="4" fontId="21" fillId="0" borderId="22" xfId="0" applyNumberFormat="1" applyFont="1" applyBorder="1" applyAlignment="1">
      <alignment horizontal="right" vertical="top" wrapText="1"/>
    </xf>
    <xf numFmtId="4" fontId="22" fillId="0" borderId="41" xfId="0" applyNumberFormat="1" applyFont="1" applyBorder="1" applyAlignment="1">
      <alignment horizontal="right" vertical="top" wrapText="1"/>
    </xf>
    <xf numFmtId="4" fontId="22" fillId="0" borderId="40" xfId="0" applyNumberFormat="1" applyFont="1" applyBorder="1" applyAlignment="1">
      <alignment horizontal="right" vertical="top" wrapText="1"/>
    </xf>
    <xf numFmtId="4" fontId="22" fillId="0" borderId="2" xfId="0" applyNumberFormat="1" applyFont="1" applyBorder="1" applyAlignment="1">
      <alignment horizontal="right" vertical="top" wrapText="1"/>
    </xf>
    <xf numFmtId="4" fontId="22" fillId="0" borderId="42" xfId="0" applyNumberFormat="1" applyFont="1" applyBorder="1" applyAlignment="1">
      <alignment horizontal="right" vertical="top" wrapText="1"/>
    </xf>
    <xf numFmtId="4" fontId="22" fillId="0" borderId="66" xfId="0" applyNumberFormat="1" applyFont="1" applyBorder="1" applyAlignment="1">
      <alignment horizontal="right" vertical="top" wrapText="1"/>
    </xf>
    <xf numFmtId="4" fontId="21" fillId="8" borderId="14" xfId="0" applyNumberFormat="1" applyFont="1" applyFill="1" applyBorder="1" applyAlignment="1">
      <alignment horizontal="right" vertical="top" wrapText="1"/>
    </xf>
    <xf numFmtId="4" fontId="21" fillId="8" borderId="35" xfId="0" applyNumberFormat="1" applyFont="1" applyFill="1" applyBorder="1" applyAlignment="1">
      <alignment horizontal="right" vertical="top" wrapText="1"/>
    </xf>
    <xf numFmtId="4" fontId="21" fillId="0" borderId="0" xfId="0" applyNumberFormat="1" applyFont="1" applyBorder="1" applyAlignment="1">
      <alignment horizontal="right" vertical="top" wrapText="1"/>
    </xf>
    <xf numFmtId="4" fontId="21" fillId="0" borderId="8" xfId="0" applyNumberFormat="1" applyFont="1" applyBorder="1" applyAlignment="1">
      <alignment horizontal="right" vertical="top" wrapText="1"/>
    </xf>
    <xf numFmtId="4" fontId="21" fillId="0" borderId="71" xfId="0" applyNumberFormat="1" applyFont="1" applyBorder="1" applyAlignment="1">
      <alignment horizontal="right" vertical="top" wrapText="1"/>
    </xf>
    <xf numFmtId="4" fontId="21" fillId="0" borderId="1" xfId="0" applyNumberFormat="1" applyFont="1" applyBorder="1" applyAlignment="1">
      <alignment horizontal="right" vertical="top" wrapText="1"/>
    </xf>
    <xf numFmtId="4" fontId="21" fillId="0" borderId="70" xfId="0" applyNumberFormat="1" applyFont="1" applyBorder="1" applyAlignment="1">
      <alignment horizontal="right" vertical="top" wrapText="1"/>
    </xf>
    <xf numFmtId="4" fontId="22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4" fontId="22" fillId="0" borderId="74" xfId="0" applyNumberFormat="1" applyFont="1" applyBorder="1" applyAlignment="1">
      <alignment horizontal="right" vertical="top" wrapText="1"/>
    </xf>
    <xf numFmtId="4" fontId="22" fillId="0" borderId="8" xfId="0" applyNumberFormat="1" applyFont="1" applyBorder="1" applyAlignment="1">
      <alignment horizontal="right" vertical="top" wrapText="1"/>
    </xf>
    <xf numFmtId="4" fontId="21" fillId="8" borderId="5" xfId="0" applyNumberFormat="1" applyFont="1" applyFill="1" applyBorder="1" applyAlignment="1">
      <alignment horizontal="righ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center" vertical="top" wrapText="1"/>
    </xf>
    <xf numFmtId="4" fontId="18" fillId="0" borderId="22" xfId="0" applyNumberFormat="1" applyFont="1" applyFill="1" applyBorder="1" applyAlignment="1">
      <alignment vertical="top"/>
    </xf>
    <xf numFmtId="4" fontId="18" fillId="0" borderId="12" xfId="0" applyNumberFormat="1" applyFont="1" applyFill="1" applyBorder="1" applyAlignment="1">
      <alignment vertical="top"/>
    </xf>
    <xf numFmtId="49" fontId="18" fillId="0" borderId="12" xfId="0" applyNumberFormat="1" applyFont="1" applyFill="1" applyBorder="1" applyAlignment="1">
      <alignment horizontal="left" vertical="top" wrapText="1" shrinkToFit="1"/>
    </xf>
    <xf numFmtId="49" fontId="18" fillId="0" borderId="12" xfId="0" applyNumberFormat="1" applyFont="1" applyFill="1" applyBorder="1" applyAlignment="1">
      <alignment horizontal="center" vertical="top" wrapText="1" shrinkToFit="1"/>
    </xf>
    <xf numFmtId="4" fontId="18" fillId="0" borderId="5" xfId="0" applyNumberFormat="1" applyFont="1" applyBorder="1" applyAlignment="1">
      <alignment vertical="top"/>
    </xf>
    <xf numFmtId="4" fontId="19" fillId="5" borderId="40" xfId="0" applyNumberFormat="1" applyFont="1" applyFill="1" applyBorder="1" applyAlignment="1">
      <alignment horizontal="right" vertical="top" wrapText="1" shrinkToFit="1"/>
    </xf>
    <xf numFmtId="49" fontId="18" fillId="5" borderId="25" xfId="0" applyNumberFormat="1" applyFont="1" applyFill="1" applyBorder="1" applyAlignment="1">
      <alignment horizontal="center" vertical="top" wrapText="1" shrinkToFit="1"/>
    </xf>
    <xf numFmtId="0" fontId="19" fillId="0" borderId="25" xfId="0" applyFont="1" applyBorder="1" applyAlignment="1">
      <alignment vertical="top" wrapText="1"/>
    </xf>
    <xf numFmtId="4" fontId="19" fillId="5" borderId="63" xfId="0" applyNumberFormat="1" applyFont="1" applyFill="1" applyBorder="1" applyAlignment="1">
      <alignment horizontal="right" vertical="top" wrapText="1" shrinkToFit="1"/>
    </xf>
    <xf numFmtId="4" fontId="19" fillId="5" borderId="0" xfId="0" applyNumberFormat="1" applyFont="1" applyFill="1" applyBorder="1" applyAlignment="1">
      <alignment horizontal="right" vertical="top" wrapText="1" shrinkToFit="1"/>
    </xf>
    <xf numFmtId="49" fontId="18" fillId="5" borderId="12" xfId="0" applyNumberFormat="1" applyFont="1" applyFill="1" applyBorder="1" applyAlignment="1">
      <alignment horizontal="center" vertical="top" wrapText="1" shrinkToFit="1"/>
    </xf>
    <xf numFmtId="49" fontId="18" fillId="5" borderId="12" xfId="0" applyNumberFormat="1" applyFont="1" applyFill="1" applyBorder="1" applyAlignment="1">
      <alignment horizontal="left" vertical="top" wrapText="1" shrinkToFit="1"/>
    </xf>
    <xf numFmtId="4" fontId="18" fillId="5" borderId="22" xfId="0" applyNumberFormat="1" applyFont="1" applyFill="1" applyBorder="1" applyAlignment="1">
      <alignment horizontal="right" vertical="top" wrapText="1" shrinkToFit="1"/>
    </xf>
    <xf numFmtId="49" fontId="18" fillId="5" borderId="9" xfId="0" applyNumberFormat="1" applyFont="1" applyFill="1" applyBorder="1" applyAlignment="1">
      <alignment horizontal="center" vertical="top" wrapText="1" shrinkToFit="1"/>
    </xf>
    <xf numFmtId="4" fontId="19" fillId="5" borderId="42" xfId="0" applyNumberFormat="1" applyFont="1" applyFill="1" applyBorder="1" applyAlignment="1">
      <alignment horizontal="right" vertical="top" wrapText="1" shrinkToFit="1"/>
    </xf>
    <xf numFmtId="4" fontId="19" fillId="5" borderId="2" xfId="0" applyNumberFormat="1" applyFont="1" applyFill="1" applyBorder="1" applyAlignment="1">
      <alignment horizontal="right" vertical="top" wrapText="1" shrinkToFit="1"/>
    </xf>
    <xf numFmtId="4" fontId="18" fillId="0" borderId="23" xfId="0" applyNumberFormat="1" applyFont="1" applyFill="1" applyBorder="1" applyAlignment="1">
      <alignment vertical="top"/>
    </xf>
    <xf numFmtId="49" fontId="18" fillId="5" borderId="21" xfId="0" applyNumberFormat="1" applyFont="1" applyFill="1" applyBorder="1" applyAlignment="1">
      <alignment horizontal="center" vertical="top" wrapText="1" shrinkToFit="1"/>
    </xf>
    <xf numFmtId="0" fontId="19" fillId="0" borderId="23" xfId="0" applyFont="1" applyBorder="1" applyAlignment="1">
      <alignment vertical="top" wrapText="1"/>
    </xf>
    <xf numFmtId="4" fontId="19" fillId="5" borderId="49" xfId="0" applyNumberFormat="1" applyFont="1" applyFill="1" applyBorder="1" applyAlignment="1">
      <alignment horizontal="right" vertical="top" wrapText="1" shrinkToFit="1"/>
    </xf>
    <xf numFmtId="4" fontId="19" fillId="5" borderId="6" xfId="0" applyNumberFormat="1" applyFont="1" applyFill="1" applyBorder="1" applyAlignment="1">
      <alignment horizontal="right" vertical="top" wrapText="1" shrinkToFit="1"/>
    </xf>
    <xf numFmtId="49" fontId="7" fillId="2" borderId="24" xfId="0" applyNumberFormat="1" applyFont="1" applyFill="1" applyBorder="1" applyAlignment="1">
      <alignment horizontal="left" vertical="top" wrapText="1" shrinkToFit="1"/>
    </xf>
    <xf numFmtId="49" fontId="17" fillId="0" borderId="4" xfId="0" applyNumberFormat="1" applyFont="1" applyFill="1" applyBorder="1" applyAlignment="1">
      <alignment vertical="top" wrapText="1"/>
    </xf>
    <xf numFmtId="49" fontId="17" fillId="0" borderId="5" xfId="0" applyNumberFormat="1" applyFont="1" applyFill="1" applyBorder="1" applyAlignment="1">
      <alignment horizontal="center" vertical="top" wrapText="1"/>
    </xf>
    <xf numFmtId="4" fontId="17" fillId="0" borderId="27" xfId="0" applyNumberFormat="1" applyFont="1" applyFill="1" applyBorder="1" applyAlignment="1">
      <alignment horizontal="right" vertical="top" wrapText="1"/>
    </xf>
    <xf numFmtId="4" fontId="21" fillId="0" borderId="5" xfId="0" applyNumberFormat="1" applyFont="1" applyFill="1" applyBorder="1" applyAlignment="1">
      <alignment horizontal="right" vertical="top" wrapText="1"/>
    </xf>
    <xf numFmtId="4" fontId="21" fillId="0" borderId="37" xfId="0" applyNumberFormat="1" applyFont="1" applyFill="1" applyBorder="1" applyAlignment="1">
      <alignment horizontal="right" vertical="top" wrapText="1"/>
    </xf>
    <xf numFmtId="49" fontId="8" fillId="5" borderId="73" xfId="0" applyNumberFormat="1" applyFont="1" applyFill="1" applyBorder="1" applyAlignment="1">
      <alignment horizontal="left" vertical="top" wrapText="1" shrinkToFit="1"/>
    </xf>
    <xf numFmtId="49" fontId="8" fillId="5" borderId="70" xfId="0" applyNumberFormat="1" applyFont="1" applyFill="1" applyBorder="1" applyAlignment="1">
      <alignment horizontal="left" vertical="top" wrapText="1" shrinkToFit="1"/>
    </xf>
    <xf numFmtId="49" fontId="8" fillId="5" borderId="74" xfId="0" applyNumberFormat="1" applyFont="1" applyFill="1" applyBorder="1" applyAlignment="1">
      <alignment horizontal="left" vertical="top" wrapText="1" shrinkToFit="1"/>
    </xf>
    <xf numFmtId="4" fontId="8" fillId="5" borderId="5" xfId="0" applyNumberFormat="1" applyFont="1" applyFill="1" applyBorder="1" applyAlignment="1">
      <alignment horizontal="right" vertical="top" wrapText="1" shrinkToFit="1"/>
    </xf>
    <xf numFmtId="4" fontId="8" fillId="5" borderId="22" xfId="0" applyNumberFormat="1" applyFont="1" applyFill="1" applyBorder="1" applyAlignment="1">
      <alignment horizontal="right" vertical="top" wrapText="1" shrinkToFit="1"/>
    </xf>
    <xf numFmtId="49" fontId="7" fillId="5" borderId="12" xfId="0" applyNumberFormat="1" applyFont="1" applyFill="1" applyBorder="1" applyAlignment="1">
      <alignment horizontal="left" vertical="top" wrapText="1" shrinkToFit="1"/>
    </xf>
    <xf numFmtId="4" fontId="7" fillId="0" borderId="17" xfId="0" applyNumberFormat="1" applyFont="1" applyBorder="1" applyAlignment="1">
      <alignment vertical="top"/>
    </xf>
    <xf numFmtId="4" fontId="3" fillId="0" borderId="67" xfId="0" applyNumberFormat="1" applyFont="1" applyBorder="1" applyAlignment="1">
      <alignment horizontal="right" vertical="center" wrapText="1"/>
    </xf>
    <xf numFmtId="4" fontId="3" fillId="0" borderId="66" xfId="0" applyNumberFormat="1" applyFont="1" applyBorder="1" applyAlignment="1">
      <alignment horizontal="right" vertical="center" wrapText="1"/>
    </xf>
    <xf numFmtId="0" fontId="8" fillId="0" borderId="16" xfId="0" applyFont="1" applyFill="1" applyBorder="1" applyAlignment="1">
      <alignment vertical="top" wrapText="1"/>
    </xf>
    <xf numFmtId="49" fontId="8" fillId="5" borderId="20" xfId="0" applyNumberFormat="1" applyFont="1" applyFill="1" applyBorder="1" applyAlignment="1">
      <alignment vertical="top" wrapText="1" shrinkToFit="1"/>
    </xf>
    <xf numFmtId="49" fontId="8" fillId="5" borderId="24" xfId="0" applyNumberFormat="1" applyFont="1" applyFill="1" applyBorder="1" applyAlignment="1">
      <alignment horizontal="left" vertical="top" wrapText="1" shrinkToFit="1"/>
    </xf>
    <xf numFmtId="49" fontId="7" fillId="5" borderId="24" xfId="0" applyNumberFormat="1" applyFont="1" applyFill="1" applyBorder="1" applyAlignment="1">
      <alignment horizontal="center" vertical="top" wrapText="1" shrinkToFit="1"/>
    </xf>
    <xf numFmtId="4" fontId="8" fillId="5" borderId="58" xfId="0" applyNumberFormat="1" applyFont="1" applyFill="1" applyBorder="1" applyAlignment="1">
      <alignment horizontal="right" vertical="top" wrapText="1" shrinkToFit="1"/>
    </xf>
    <xf numFmtId="4" fontId="8" fillId="5" borderId="43" xfId="0" applyNumberFormat="1" applyFont="1" applyFill="1" applyBorder="1" applyAlignment="1">
      <alignment horizontal="right" vertical="top" wrapText="1" shrinkToFit="1"/>
    </xf>
    <xf numFmtId="49" fontId="8" fillId="5" borderId="0" xfId="0" applyNumberFormat="1" applyFont="1" applyFill="1" applyBorder="1" applyAlignment="1">
      <alignment vertical="top" wrapText="1" shrinkToFit="1"/>
    </xf>
    <xf numFmtId="49" fontId="8" fillId="0" borderId="24" xfId="0" applyNumberFormat="1" applyFont="1" applyBorder="1" applyAlignment="1">
      <alignment horizontal="left" vertical="top" wrapText="1"/>
    </xf>
    <xf numFmtId="4" fontId="8" fillId="5" borderId="18" xfId="0" applyNumberFormat="1" applyFont="1" applyFill="1" applyBorder="1" applyAlignment="1">
      <alignment horizontal="right" vertical="top" wrapText="1" shrinkToFit="1"/>
    </xf>
    <xf numFmtId="49" fontId="8" fillId="5" borderId="61" xfId="0" applyNumberFormat="1" applyFont="1" applyFill="1" applyBorder="1" applyAlignment="1">
      <alignment vertical="top" wrapText="1" shrinkToFit="1"/>
    </xf>
    <xf numFmtId="49" fontId="8" fillId="0" borderId="23" xfId="0" applyNumberFormat="1" applyFont="1" applyBorder="1" applyAlignment="1">
      <alignment horizontal="left" vertical="top" wrapText="1"/>
    </xf>
    <xf numFmtId="4" fontId="8" fillId="5" borderId="6" xfId="0" applyNumberFormat="1" applyFont="1" applyFill="1" applyBorder="1" applyAlignment="1">
      <alignment horizontal="right" vertical="top" wrapText="1" shrinkToFit="1"/>
    </xf>
    <xf numFmtId="4" fontId="7" fillId="0" borderId="23" xfId="0" applyNumberFormat="1" applyFont="1" applyBorder="1" applyAlignment="1">
      <alignment vertical="top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19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1" fontId="11" fillId="0" borderId="37" xfId="0" applyNumberFormat="1" applyFont="1" applyBorder="1" applyAlignment="1">
      <alignment horizontal="center" vertical="top" wrapText="1"/>
    </xf>
    <xf numFmtId="4" fontId="7" fillId="6" borderId="22" xfId="0" applyNumberFormat="1" applyFont="1" applyFill="1" applyBorder="1" applyAlignment="1">
      <alignment horizontal="right" vertical="top"/>
    </xf>
    <xf numFmtId="4" fontId="8" fillId="6" borderId="68" xfId="0" applyNumberFormat="1" applyFont="1" applyFill="1" applyBorder="1" applyAlignment="1">
      <alignment horizontal="right" vertical="top"/>
    </xf>
    <xf numFmtId="4" fontId="7" fillId="6" borderId="68" xfId="0" applyNumberFormat="1" applyFont="1" applyFill="1" applyBorder="1" applyAlignment="1">
      <alignment horizontal="right" vertical="top"/>
    </xf>
    <xf numFmtId="4" fontId="7" fillId="2" borderId="70" xfId="0" applyNumberFormat="1" applyFont="1" applyFill="1" applyBorder="1" applyAlignment="1">
      <alignment horizontal="right" vertical="top"/>
    </xf>
    <xf numFmtId="4" fontId="7" fillId="2" borderId="69" xfId="0" applyNumberFormat="1" applyFont="1" applyFill="1" applyBorder="1" applyAlignment="1">
      <alignment horizontal="right" vertical="top"/>
    </xf>
    <xf numFmtId="4" fontId="7" fillId="0" borderId="27" xfId="0" applyNumberFormat="1" applyFont="1" applyBorder="1" applyAlignment="1">
      <alignment horizontal="right" vertical="top"/>
    </xf>
    <xf numFmtId="4" fontId="7" fillId="0" borderId="22" xfId="0" applyNumberFormat="1" applyFont="1" applyFill="1" applyBorder="1" applyAlignment="1">
      <alignment vertical="top"/>
    </xf>
    <xf numFmtId="4" fontId="8" fillId="0" borderId="8" xfId="0" applyNumberFormat="1" applyFont="1" applyBorder="1" applyAlignment="1">
      <alignment horizontal="right" vertical="top" wrapText="1"/>
    </xf>
    <xf numFmtId="4" fontId="8" fillId="0" borderId="14" xfId="0" applyNumberFormat="1" applyFont="1" applyBorder="1" applyAlignment="1">
      <alignment horizontal="right" vertical="top" wrapText="1"/>
    </xf>
    <xf numFmtId="4" fontId="8" fillId="0" borderId="15" xfId="0" applyNumberFormat="1" applyFont="1" applyBorder="1" applyAlignment="1">
      <alignment vertical="top"/>
    </xf>
    <xf numFmtId="4" fontId="8" fillId="0" borderId="33" xfId="0" applyNumberFormat="1" applyFont="1" applyBorder="1" applyAlignment="1">
      <alignment vertical="top"/>
    </xf>
    <xf numFmtId="4" fontId="8" fillId="0" borderId="13" xfId="0" applyNumberFormat="1" applyFont="1" applyBorder="1" applyAlignment="1">
      <alignment vertical="top"/>
    </xf>
    <xf numFmtId="4" fontId="7" fillId="5" borderId="22" xfId="0" applyNumberFormat="1" applyFont="1" applyFill="1" applyBorder="1" applyAlignment="1">
      <alignment horizontal="right" vertical="top" wrapText="1" shrinkToFit="1"/>
    </xf>
    <xf numFmtId="4" fontId="8" fillId="0" borderId="19" xfId="0" applyNumberFormat="1" applyFont="1" applyBorder="1" applyAlignment="1">
      <alignment vertical="top"/>
    </xf>
    <xf numFmtId="4" fontId="8" fillId="0" borderId="48" xfId="0" applyNumberFormat="1" applyFont="1" applyBorder="1" applyAlignment="1">
      <alignment vertical="top"/>
    </xf>
    <xf numFmtId="4" fontId="8" fillId="0" borderId="6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35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4" fontId="8" fillId="4" borderId="41" xfId="0" applyNumberFormat="1" applyFont="1" applyFill="1" applyBorder="1" applyAlignment="1">
      <alignment vertical="top" wrapText="1"/>
    </xf>
    <xf numFmtId="4" fontId="8" fillId="4" borderId="3" xfId="0" applyNumberFormat="1" applyFont="1" applyFill="1" applyBorder="1" applyAlignment="1">
      <alignment vertical="top" wrapText="1"/>
    </xf>
    <xf numFmtId="4" fontId="8" fillId="4" borderId="40" xfId="0" applyNumberFormat="1" applyFont="1" applyFill="1" applyBorder="1" applyAlignment="1">
      <alignment vertical="top" wrapText="1"/>
    </xf>
    <xf numFmtId="4" fontId="8" fillId="4" borderId="42" xfId="0" applyNumberFormat="1" applyFont="1" applyFill="1" applyBorder="1" applyAlignment="1">
      <alignment vertical="top" wrapText="1"/>
    </xf>
    <xf numFmtId="4" fontId="8" fillId="4" borderId="2" xfId="0" applyNumberFormat="1" applyFont="1" applyFill="1" applyBorder="1" applyAlignment="1">
      <alignment vertical="top" wrapText="1"/>
    </xf>
    <xf numFmtId="4" fontId="8" fillId="4" borderId="63" xfId="0" applyNumberFormat="1" applyFont="1" applyFill="1" applyBorder="1" applyAlignment="1">
      <alignment vertical="top" wrapText="1"/>
    </xf>
    <xf numFmtId="4" fontId="8" fillId="4" borderId="18" xfId="0" applyNumberFormat="1" applyFont="1" applyFill="1" applyBorder="1" applyAlignment="1">
      <alignment vertical="top" wrapText="1"/>
    </xf>
    <xf numFmtId="4" fontId="8" fillId="0" borderId="63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8" fillId="0" borderId="41" xfId="0" applyNumberFormat="1" applyFont="1" applyFill="1" applyBorder="1" applyAlignment="1">
      <alignment vertical="top" wrapText="1"/>
    </xf>
    <xf numFmtId="4" fontId="8" fillId="0" borderId="3" xfId="0" applyNumberFormat="1" applyFont="1" applyFill="1" applyBorder="1" applyAlignment="1">
      <alignment vertical="top" wrapText="1"/>
    </xf>
    <xf numFmtId="4" fontId="8" fillId="0" borderId="42" xfId="0" applyNumberFormat="1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vertical="top" wrapText="1"/>
    </xf>
    <xf numFmtId="4" fontId="8" fillId="0" borderId="26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8" fillId="0" borderId="27" xfId="0" applyNumberFormat="1" applyFont="1" applyFill="1" applyBorder="1" applyAlignment="1">
      <alignment vertical="top" wrapText="1"/>
    </xf>
    <xf numFmtId="4" fontId="8" fillId="0" borderId="68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9" fontId="8" fillId="0" borderId="20" xfId="0" applyNumberFormat="1" applyFont="1" applyFill="1" applyBorder="1" applyAlignment="1">
      <alignment horizontal="left" vertical="top" wrapText="1"/>
    </xf>
    <xf numFmtId="4" fontId="8" fillId="0" borderId="0" xfId="0" applyNumberFormat="1" applyFont="1" applyAlignment="1">
      <alignment horizontal="center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top" wrapText="1"/>
    </xf>
    <xf numFmtId="4" fontId="8" fillId="0" borderId="52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20" xfId="0" applyFont="1" applyFill="1" applyBorder="1" applyAlignment="1">
      <alignment vertical="top" wrapText="1"/>
    </xf>
    <xf numFmtId="0" fontId="7" fillId="2" borderId="23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left" vertical="top" wrapText="1"/>
    </xf>
    <xf numFmtId="4" fontId="7" fillId="2" borderId="36" xfId="0" applyNumberFormat="1" applyFont="1" applyFill="1" applyBorder="1" applyAlignment="1">
      <alignment vertical="top" wrapText="1"/>
    </xf>
    <xf numFmtId="4" fontId="7" fillId="0" borderId="73" xfId="0" applyNumberFormat="1" applyFont="1" applyBorder="1" applyAlignment="1">
      <alignment vertical="top" wrapText="1"/>
    </xf>
    <xf numFmtId="0" fontId="8" fillId="0" borderId="11" xfId="0" applyFont="1" applyFill="1" applyBorder="1" applyAlignment="1">
      <alignment horizontal="left" vertical="top" wrapText="1"/>
    </xf>
    <xf numFmtId="4" fontId="8" fillId="0" borderId="74" xfId="0" applyNumberFormat="1" applyFont="1" applyBorder="1" applyAlignment="1">
      <alignment vertical="top" wrapText="1"/>
    </xf>
    <xf numFmtId="4" fontId="8" fillId="0" borderId="40" xfId="0" applyNumberFormat="1" applyFont="1" applyBorder="1" applyAlignment="1">
      <alignment vertical="top" wrapText="1"/>
    </xf>
    <xf numFmtId="4" fontId="8" fillId="0" borderId="66" xfId="0" applyNumberFormat="1" applyFont="1" applyBorder="1" applyAlignment="1">
      <alignment vertical="top" wrapText="1"/>
    </xf>
    <xf numFmtId="4" fontId="7" fillId="2" borderId="40" xfId="0" applyNumberFormat="1" applyFont="1" applyFill="1" applyBorder="1" applyAlignment="1">
      <alignment vertical="top" wrapText="1"/>
    </xf>
    <xf numFmtId="4" fontId="7" fillId="2" borderId="66" xfId="0" applyNumberFormat="1" applyFont="1" applyFill="1" applyBorder="1" applyAlignment="1">
      <alignment vertical="top" wrapText="1"/>
    </xf>
    <xf numFmtId="4" fontId="7" fillId="2" borderId="17" xfId="0" applyNumberFormat="1" applyFont="1" applyFill="1" applyBorder="1" applyAlignment="1">
      <alignment vertical="top" wrapText="1"/>
    </xf>
    <xf numFmtId="4" fontId="7" fillId="0" borderId="24" xfId="0" applyNumberFormat="1" applyFont="1" applyBorder="1" applyAlignment="1">
      <alignment vertical="top" wrapText="1"/>
    </xf>
    <xf numFmtId="0" fontId="7" fillId="0" borderId="60" xfId="0" applyFont="1" applyFill="1" applyBorder="1" applyAlignment="1">
      <alignment horizontal="left" vertical="top" wrapText="1"/>
    </xf>
    <xf numFmtId="0" fontId="8" fillId="0" borderId="57" xfId="0" applyFont="1" applyFill="1" applyBorder="1" applyAlignment="1">
      <alignment horizontal="left" vertical="top" wrapText="1"/>
    </xf>
    <xf numFmtId="0" fontId="8" fillId="0" borderId="59" xfId="0" applyFont="1" applyFill="1" applyBorder="1" applyAlignment="1">
      <alignment horizontal="left" vertical="top" wrapText="1"/>
    </xf>
    <xf numFmtId="4" fontId="8" fillId="0" borderId="42" xfId="0" applyNumberFormat="1" applyFont="1" applyBorder="1" applyAlignment="1">
      <alignment vertical="top" wrapText="1"/>
    </xf>
    <xf numFmtId="4" fontId="7" fillId="0" borderId="16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left" vertical="top" wrapText="1"/>
    </xf>
    <xf numFmtId="4" fontId="7" fillId="2" borderId="52" xfId="0" applyNumberFormat="1" applyFont="1" applyFill="1" applyBorder="1" applyAlignment="1">
      <alignment vertical="top" wrapText="1"/>
    </xf>
    <xf numFmtId="4" fontId="7" fillId="2" borderId="11" xfId="0" applyNumberFormat="1" applyFont="1" applyFill="1" applyBorder="1" applyAlignment="1">
      <alignment vertical="top" wrapText="1"/>
    </xf>
    <xf numFmtId="4" fontId="7" fillId="0" borderId="28" xfId="0" applyNumberFormat="1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8" fillId="2" borderId="20" xfId="0" applyFont="1" applyFill="1" applyBorder="1" applyAlignment="1">
      <alignment vertical="top" wrapText="1"/>
    </xf>
    <xf numFmtId="0" fontId="8" fillId="2" borderId="23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0" xfId="0" applyFont="1" applyFill="1" applyBorder="1" applyAlignment="1">
      <alignment horizontal="center" vertical="top" wrapText="1"/>
    </xf>
    <xf numFmtId="4" fontId="8" fillId="0" borderId="5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7" fillId="2" borderId="67" xfId="0" applyNumberFormat="1" applyFont="1" applyFill="1" applyBorder="1" applyAlignment="1">
      <alignment vertical="top" wrapText="1"/>
    </xf>
    <xf numFmtId="4" fontId="7" fillId="0" borderId="71" xfId="0" applyNumberFormat="1" applyFont="1" applyFill="1" applyBorder="1" applyAlignment="1">
      <alignment vertical="top" wrapText="1"/>
    </xf>
    <xf numFmtId="4" fontId="7" fillId="0" borderId="70" xfId="0" applyNumberFormat="1" applyFont="1" applyFill="1" applyBorder="1" applyAlignment="1">
      <alignment vertical="top" wrapText="1"/>
    </xf>
    <xf numFmtId="4" fontId="8" fillId="0" borderId="20" xfId="0" applyNumberFormat="1" applyFont="1" applyBorder="1" applyAlignment="1">
      <alignment horizontal="right" vertical="top" wrapText="1"/>
    </xf>
    <xf numFmtId="4" fontId="8" fillId="0" borderId="11" xfId="0" applyNumberFormat="1" applyFont="1" applyBorder="1" applyAlignment="1">
      <alignment horizontal="right" vertical="top" wrapText="1"/>
    </xf>
    <xf numFmtId="4" fontId="7" fillId="2" borderId="42" xfId="0" applyNumberFormat="1" applyFont="1" applyFill="1" applyBorder="1" applyAlignment="1">
      <alignment vertical="top" wrapText="1"/>
    </xf>
    <xf numFmtId="4" fontId="7" fillId="2" borderId="74" xfId="0" applyNumberFormat="1" applyFont="1" applyFill="1" applyBorder="1" applyAlignment="1">
      <alignment vertical="top" wrapText="1"/>
    </xf>
    <xf numFmtId="4" fontId="7" fillId="2" borderId="35" xfId="0" applyNumberFormat="1" applyFont="1" applyFill="1" applyBorder="1" applyAlignment="1">
      <alignment vertical="top" wrapText="1"/>
    </xf>
    <xf numFmtId="4" fontId="7" fillId="0" borderId="40" xfId="0" applyNumberFormat="1" applyFont="1" applyBorder="1" applyAlignment="1">
      <alignment vertical="top" wrapText="1"/>
    </xf>
    <xf numFmtId="4" fontId="7" fillId="0" borderId="45" xfId="0" applyNumberFormat="1" applyFont="1" applyBorder="1" applyAlignment="1">
      <alignment horizontal="right" vertical="top" wrapText="1"/>
    </xf>
    <xf numFmtId="4" fontId="7" fillId="0" borderId="17" xfId="0" applyNumberFormat="1" applyFont="1" applyBorder="1" applyAlignment="1">
      <alignment vertical="top" wrapText="1"/>
    </xf>
    <xf numFmtId="4" fontId="8" fillId="0" borderId="44" xfId="0" applyNumberFormat="1" applyFont="1" applyFill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4" fontId="8" fillId="0" borderId="52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4" fontId="8" fillId="0" borderId="36" xfId="0" applyNumberFormat="1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4" fontId="8" fillId="0" borderId="45" xfId="0" applyNumberFormat="1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top" wrapText="1"/>
    </xf>
    <xf numFmtId="4" fontId="8" fillId="0" borderId="47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4" fontId="8" fillId="0" borderId="46" xfId="0" applyNumberFormat="1" applyFont="1" applyFill="1" applyBorder="1" applyAlignment="1">
      <alignment horizontal="center" vertical="top" wrapText="1"/>
    </xf>
    <xf numFmtId="4" fontId="8" fillId="0" borderId="48" xfId="0" applyNumberFormat="1" applyFont="1" applyFill="1" applyBorder="1" applyAlignment="1">
      <alignment horizontal="center" vertical="top" wrapText="1"/>
    </xf>
    <xf numFmtId="4" fontId="7" fillId="0" borderId="66" xfId="0" applyNumberFormat="1" applyFont="1" applyBorder="1" applyAlignment="1">
      <alignment vertical="top" wrapText="1"/>
    </xf>
    <xf numFmtId="4" fontId="7" fillId="0" borderId="67" xfId="0" applyNumberFormat="1" applyFont="1" applyBorder="1" applyAlignment="1">
      <alignment horizontal="right" vertical="top" wrapText="1"/>
    </xf>
    <xf numFmtId="0" fontId="7" fillId="0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" fontId="8" fillId="0" borderId="32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4" fontId="8" fillId="0" borderId="34" xfId="0" applyNumberFormat="1" applyFont="1" applyBorder="1" applyAlignment="1">
      <alignment horizontal="center" vertical="top" wrapText="1"/>
    </xf>
    <xf numFmtId="4" fontId="8" fillId="0" borderId="43" xfId="0" applyNumberFormat="1" applyFont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4" fontId="8" fillId="0" borderId="78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4" fontId="8" fillId="0" borderId="45" xfId="0" applyNumberFormat="1" applyFont="1" applyBorder="1" applyAlignment="1">
      <alignment horizontal="center" vertical="top" wrapText="1"/>
    </xf>
    <xf numFmtId="4" fontId="8" fillId="0" borderId="47" xfId="0" applyNumberFormat="1" applyFont="1" applyBorder="1" applyAlignment="1">
      <alignment horizontal="center" vertical="top" wrapText="1"/>
    </xf>
    <xf numFmtId="4" fontId="8" fillId="0" borderId="49" xfId="0" applyNumberFormat="1" applyFont="1" applyBorder="1" applyAlignment="1">
      <alignment horizontal="center" vertical="top" wrapText="1"/>
    </xf>
    <xf numFmtId="4" fontId="8" fillId="0" borderId="46" xfId="0" applyNumberFormat="1" applyFont="1" applyBorder="1" applyAlignment="1">
      <alignment horizontal="center" vertical="top" wrapText="1"/>
    </xf>
    <xf numFmtId="4" fontId="8" fillId="0" borderId="48" xfId="0" applyNumberFormat="1" applyFont="1" applyBorder="1" applyAlignment="1">
      <alignment horizontal="center" vertical="top" wrapText="1"/>
    </xf>
    <xf numFmtId="4" fontId="8" fillId="0" borderId="5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9" xfId="0" applyFont="1" applyBorder="1" applyAlignment="1">
      <alignment horizontal="center" vertical="top" wrapText="1"/>
    </xf>
    <xf numFmtId="0" fontId="7" fillId="2" borderId="28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4" fontId="8" fillId="0" borderId="47" xfId="0" applyNumberFormat="1" applyFont="1" applyFill="1" applyBorder="1" applyAlignment="1">
      <alignment vertical="top" wrapText="1"/>
    </xf>
    <xf numFmtId="4" fontId="8" fillId="0" borderId="49" xfId="0" applyNumberFormat="1" applyFont="1" applyFill="1" applyBorder="1" applyAlignment="1">
      <alignment vertical="top" wrapText="1"/>
    </xf>
    <xf numFmtId="0" fontId="8" fillId="0" borderId="23" xfId="0" applyFont="1" applyFill="1" applyBorder="1" applyAlignment="1">
      <alignment horizontal="center" vertical="top" wrapText="1"/>
    </xf>
    <xf numFmtId="4" fontId="8" fillId="0" borderId="71" xfId="0" applyNumberFormat="1" applyFont="1" applyFill="1" applyBorder="1" applyAlignment="1">
      <alignment vertical="top" wrapText="1"/>
    </xf>
    <xf numFmtId="4" fontId="8" fillId="0" borderId="70" xfId="0" applyNumberFormat="1" applyFont="1" applyFill="1" applyBorder="1" applyAlignment="1">
      <alignment vertical="top" wrapText="1"/>
    </xf>
    <xf numFmtId="4" fontId="8" fillId="0" borderId="69" xfId="0" applyNumberFormat="1" applyFont="1" applyFill="1" applyBorder="1" applyAlignment="1">
      <alignment vertical="top" wrapText="1"/>
    </xf>
    <xf numFmtId="4" fontId="8" fillId="0" borderId="49" xfId="0" applyNumberFormat="1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center" vertical="top" wrapText="1"/>
    </xf>
    <xf numFmtId="4" fontId="7" fillId="2" borderId="45" xfId="0" applyNumberFormat="1" applyFont="1" applyFill="1" applyBorder="1" applyAlignment="1">
      <alignment horizontal="center" vertical="top" wrapText="1"/>
    </xf>
    <xf numFmtId="4" fontId="7" fillId="2" borderId="46" xfId="0" applyNumberFormat="1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top" wrapText="1"/>
    </xf>
    <xf numFmtId="4" fontId="7" fillId="2" borderId="47" xfId="0" applyNumberFormat="1" applyFont="1" applyFill="1" applyBorder="1" applyAlignment="1">
      <alignment horizontal="center" vertical="top" wrapText="1"/>
    </xf>
    <xf numFmtId="4" fontId="7" fillId="2" borderId="48" xfId="0" applyNumberFormat="1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center" vertical="top" wrapText="1"/>
    </xf>
    <xf numFmtId="4" fontId="7" fillId="2" borderId="49" xfId="0" applyNumberFormat="1" applyFont="1" applyFill="1" applyBorder="1" applyAlignment="1">
      <alignment horizontal="center" vertical="top" wrapText="1"/>
    </xf>
    <xf numFmtId="4" fontId="7" fillId="2" borderId="50" xfId="0" applyNumberFormat="1" applyFont="1" applyFill="1" applyBorder="1" applyAlignment="1">
      <alignment horizontal="center" vertical="top" wrapText="1"/>
    </xf>
    <xf numFmtId="4" fontId="7" fillId="0" borderId="67" xfId="0" applyNumberFormat="1" applyFont="1" applyFill="1" applyBorder="1" applyAlignment="1">
      <alignment vertical="top" wrapText="1"/>
    </xf>
    <xf numFmtId="4" fontId="8" fillId="0" borderId="40" xfId="0" applyNumberFormat="1" applyFont="1" applyFill="1" applyBorder="1" applyAlignment="1">
      <alignment vertical="top" wrapText="1"/>
    </xf>
    <xf numFmtId="4" fontId="8" fillId="0" borderId="66" xfId="0" applyNumberFormat="1" applyFont="1" applyFill="1" applyBorder="1" applyAlignment="1">
      <alignment vertical="top" wrapText="1"/>
    </xf>
    <xf numFmtId="0" fontId="7" fillId="2" borderId="28" xfId="0" applyFont="1" applyFill="1" applyBorder="1" applyAlignment="1">
      <alignment horizontal="left" vertical="top" wrapText="1"/>
    </xf>
    <xf numFmtId="4" fontId="7" fillId="2" borderId="41" xfId="0" applyNumberFormat="1" applyFont="1" applyFill="1" applyBorder="1" applyAlignment="1">
      <alignment vertical="top" wrapText="1"/>
    </xf>
    <xf numFmtId="4" fontId="8" fillId="0" borderId="44" xfId="0" applyNumberFormat="1" applyFont="1" applyFill="1" applyBorder="1" applyAlignment="1">
      <alignment vertical="top" wrapText="1"/>
    </xf>
    <xf numFmtId="4" fontId="8" fillId="0" borderId="32" xfId="0" applyNumberFormat="1" applyFont="1" applyFill="1" applyBorder="1" applyAlignment="1">
      <alignment vertical="top" wrapText="1"/>
    </xf>
    <xf numFmtId="4" fontId="8" fillId="0" borderId="1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8" xfId="0" applyNumberFormat="1" applyFont="1" applyFill="1" applyBorder="1" applyAlignment="1">
      <alignment vertical="top" wrapText="1"/>
    </xf>
    <xf numFmtId="4" fontId="8" fillId="0" borderId="50" xfId="0" applyNumberFormat="1" applyFont="1" applyFill="1" applyBorder="1" applyAlignment="1">
      <alignment vertical="top" wrapText="1"/>
    </xf>
    <xf numFmtId="0" fontId="7" fillId="9" borderId="16" xfId="0" applyFont="1" applyFill="1" applyBorder="1" applyAlignment="1">
      <alignment vertical="top" wrapText="1"/>
    </xf>
    <xf numFmtId="0" fontId="7" fillId="9" borderId="20" xfId="0" applyFont="1" applyFill="1" applyBorder="1" applyAlignment="1">
      <alignment vertical="top" wrapText="1"/>
    </xf>
    <xf numFmtId="0" fontId="7" fillId="9" borderId="23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center" vertical="top" wrapText="1"/>
    </xf>
    <xf numFmtId="0" fontId="8" fillId="0" borderId="69" xfId="0" applyFont="1" applyFill="1" applyBorder="1" applyAlignment="1">
      <alignment horizontal="center" vertical="top" wrapText="1"/>
    </xf>
    <xf numFmtId="4" fontId="8" fillId="0" borderId="72" xfId="0" applyNumberFormat="1" applyFont="1" applyBorder="1" applyAlignment="1">
      <alignment vertical="top" wrapText="1"/>
    </xf>
    <xf numFmtId="4" fontId="8" fillId="0" borderId="26" xfId="0" applyNumberFormat="1" applyFont="1" applyBorder="1" applyAlignment="1">
      <alignment vertical="top" wrapText="1"/>
    </xf>
    <xf numFmtId="4" fontId="8" fillId="0" borderId="77" xfId="0" applyNumberFormat="1" applyFont="1" applyBorder="1" applyAlignment="1">
      <alignment vertical="top" wrapText="1"/>
    </xf>
    <xf numFmtId="0" fontId="7" fillId="0" borderId="28" xfId="0" applyFont="1" applyFill="1" applyBorder="1" applyAlignment="1">
      <alignment horizontal="left" vertical="top" wrapText="1"/>
    </xf>
    <xf numFmtId="4" fontId="7" fillId="0" borderId="64" xfId="0" applyNumberFormat="1" applyFont="1" applyBorder="1" applyAlignment="1">
      <alignment vertical="top" wrapText="1"/>
    </xf>
    <xf numFmtId="4" fontId="7" fillId="0" borderId="31" xfId="0" applyNumberFormat="1" applyFont="1" applyBorder="1" applyAlignment="1">
      <alignment vertical="top" wrapText="1"/>
    </xf>
    <xf numFmtId="4" fontId="8" fillId="0" borderId="64" xfId="0" applyNumberFormat="1" applyFont="1" applyBorder="1" applyAlignment="1">
      <alignment vertical="top" wrapText="1"/>
    </xf>
    <xf numFmtId="4" fontId="8" fillId="0" borderId="55" xfId="0" applyNumberFormat="1" applyFont="1" applyBorder="1" applyAlignment="1">
      <alignment vertical="top" wrapText="1"/>
    </xf>
    <xf numFmtId="4" fontId="8" fillId="0" borderId="79" xfId="0" applyNumberFormat="1" applyFont="1" applyBorder="1" applyAlignment="1">
      <alignment horizontal="center" vertical="top" wrapText="1"/>
    </xf>
    <xf numFmtId="4" fontId="8" fillId="0" borderId="70" xfId="0" applyNumberFormat="1" applyFont="1" applyBorder="1" applyAlignment="1">
      <alignment horizontal="center" vertical="top" wrapText="1"/>
    </xf>
    <xf numFmtId="4" fontId="8" fillId="0" borderId="69" xfId="0" applyNumberFormat="1" applyFont="1" applyBorder="1" applyAlignment="1">
      <alignment horizontal="center" vertical="top" wrapText="1"/>
    </xf>
    <xf numFmtId="4" fontId="7" fillId="0" borderId="51" xfId="0" applyNumberFormat="1" applyFont="1" applyBorder="1" applyAlignment="1">
      <alignment vertical="top" wrapText="1"/>
    </xf>
    <xf numFmtId="4" fontId="8" fillId="0" borderId="67" xfId="0" applyNumberFormat="1" applyFont="1" applyBorder="1" applyAlignment="1">
      <alignment horizontal="center" vertical="top" wrapText="1"/>
    </xf>
    <xf numFmtId="4" fontId="8" fillId="0" borderId="40" xfId="0" applyNumberFormat="1" applyFont="1" applyBorder="1" applyAlignment="1">
      <alignment horizontal="center" vertical="top" wrapText="1"/>
    </xf>
    <xf numFmtId="4" fontId="8" fillId="0" borderId="71" xfId="0" applyNumberFormat="1" applyFont="1" applyBorder="1" applyAlignment="1">
      <alignment horizontal="center" vertical="top" wrapText="1"/>
    </xf>
    <xf numFmtId="0" fontId="7" fillId="0" borderId="79" xfId="0" applyFont="1" applyFill="1" applyBorder="1" applyAlignment="1">
      <alignment horizontal="left" vertical="top" wrapText="1"/>
    </xf>
    <xf numFmtId="0" fontId="8" fillId="0" borderId="65" xfId="0" applyFont="1" applyFill="1" applyBorder="1" applyAlignment="1">
      <alignment horizontal="left" vertical="top" wrapText="1"/>
    </xf>
    <xf numFmtId="0" fontId="8" fillId="0" borderId="80" xfId="0" applyFont="1" applyFill="1" applyBorder="1" applyAlignment="1">
      <alignment horizontal="left" vertical="top" wrapText="1"/>
    </xf>
    <xf numFmtId="4" fontId="8" fillId="0" borderId="36" xfId="0" applyNumberFormat="1" applyFont="1" applyBorder="1" applyAlignment="1">
      <alignment horizontal="right" vertical="top" wrapText="1"/>
    </xf>
    <xf numFmtId="0" fontId="8" fillId="0" borderId="79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center" vertical="top" wrapText="1"/>
    </xf>
    <xf numFmtId="4" fontId="8" fillId="0" borderId="23" xfId="0" applyNumberFormat="1" applyFont="1" applyBorder="1" applyAlignment="1">
      <alignment horizontal="right" vertical="top" wrapText="1"/>
    </xf>
    <xf numFmtId="0" fontId="8" fillId="0" borderId="80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4" fontId="8" fillId="0" borderId="31" xfId="0" applyNumberFormat="1" applyFont="1" applyBorder="1" applyAlignment="1">
      <alignment horizontal="center" vertical="top" wrapText="1"/>
    </xf>
    <xf numFmtId="4" fontId="8" fillId="0" borderId="28" xfId="0" applyNumberFormat="1" applyFont="1" applyBorder="1" applyAlignment="1">
      <alignment horizontal="right" vertical="top" wrapText="1"/>
    </xf>
    <xf numFmtId="0" fontId="8" fillId="0" borderId="61" xfId="0" applyFont="1" applyFill="1" applyBorder="1" applyAlignment="1">
      <alignment horizontal="left" vertical="top" wrapText="1"/>
    </xf>
    <xf numFmtId="4" fontId="8" fillId="0" borderId="17" xfId="0" applyNumberFormat="1" applyFont="1" applyBorder="1" applyAlignment="1">
      <alignment horizontal="right" vertical="top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top" wrapText="1"/>
    </xf>
    <xf numFmtId="4" fontId="8" fillId="0" borderId="51" xfId="0" applyNumberFormat="1" applyFont="1" applyBorder="1" applyAlignment="1">
      <alignment horizontal="center" vertical="top" wrapText="1"/>
    </xf>
    <xf numFmtId="4" fontId="8" fillId="0" borderId="31" xfId="0" applyNumberFormat="1" applyFont="1" applyFill="1" applyBorder="1" applyAlignment="1">
      <alignment horizontal="center" vertical="top" wrapText="1"/>
    </xf>
    <xf numFmtId="4" fontId="8" fillId="0" borderId="45" xfId="0" applyNumberFormat="1" applyFont="1" applyBorder="1" applyAlignment="1">
      <alignment vertical="top" wrapText="1"/>
    </xf>
    <xf numFmtId="4" fontId="8" fillId="0" borderId="67" xfId="0" applyNumberFormat="1" applyFont="1" applyBorder="1" applyAlignment="1">
      <alignment vertical="top" wrapText="1"/>
    </xf>
    <xf numFmtId="4" fontId="8" fillId="0" borderId="71" xfId="0" applyNumberFormat="1" applyFont="1" applyBorder="1" applyAlignment="1">
      <alignment vertical="top" wrapText="1"/>
    </xf>
    <xf numFmtId="4" fontId="8" fillId="0" borderId="65" xfId="0" applyNumberFormat="1" applyFont="1" applyBorder="1" applyAlignment="1">
      <alignment horizontal="right" vertical="top" wrapText="1"/>
    </xf>
    <xf numFmtId="0" fontId="8" fillId="0" borderId="80" xfId="0" applyFont="1" applyBorder="1" applyAlignment="1">
      <alignment vertical="top" wrapText="1"/>
    </xf>
    <xf numFmtId="4" fontId="8" fillId="0" borderId="41" xfId="0" applyNumberFormat="1" applyFont="1" applyBorder="1" applyAlignment="1">
      <alignment horizontal="center" vertical="top" wrapText="1"/>
    </xf>
    <xf numFmtId="4" fontId="8" fillId="0" borderId="9" xfId="0" applyNumberFormat="1" applyFont="1" applyFill="1" applyBorder="1" applyAlignment="1">
      <alignment horizontal="center" vertical="top" wrapText="1"/>
    </xf>
    <xf numFmtId="4" fontId="8" fillId="0" borderId="10" xfId="0" applyNumberFormat="1" applyFont="1" applyFill="1" applyBorder="1" applyAlignment="1">
      <alignment horizontal="center" vertical="top" wrapText="1"/>
    </xf>
    <xf numFmtId="4" fontId="8" fillId="0" borderId="42" xfId="0" applyNumberFormat="1" applyFont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4" fontId="8" fillId="0" borderId="77" xfId="0" applyNumberFormat="1" applyFont="1" applyFill="1" applyBorder="1" applyAlignment="1">
      <alignment horizontal="center" vertical="top" wrapText="1"/>
    </xf>
    <xf numFmtId="4" fontId="7" fillId="0" borderId="25" xfId="0" applyNumberFormat="1" applyFont="1" applyBorder="1" applyAlignment="1">
      <alignment vertical="top" wrapText="1"/>
    </xf>
    <xf numFmtId="4" fontId="8" fillId="0" borderId="25" xfId="0" applyNumberFormat="1" applyFont="1" applyBorder="1" applyAlignment="1">
      <alignment vertical="top" wrapText="1"/>
    </xf>
    <xf numFmtId="4" fontId="7" fillId="0" borderId="41" xfId="0" applyNumberFormat="1" applyFont="1" applyBorder="1" applyAlignment="1">
      <alignment vertical="top" wrapText="1"/>
    </xf>
    <xf numFmtId="4" fontId="8" fillId="0" borderId="44" xfId="0" applyNumberFormat="1" applyFont="1" applyBorder="1" applyAlignment="1">
      <alignment vertical="top" wrapText="1"/>
    </xf>
    <xf numFmtId="4" fontId="8" fillId="0" borderId="21" xfId="0" applyNumberFormat="1" applyFont="1" applyBorder="1" applyAlignment="1">
      <alignment vertical="top" wrapText="1"/>
    </xf>
    <xf numFmtId="2" fontId="8" fillId="0" borderId="46" xfId="0" applyNumberFormat="1" applyFont="1" applyBorder="1" applyAlignment="1">
      <alignment horizontal="center" vertical="top" wrapText="1"/>
    </xf>
    <xf numFmtId="0" fontId="8" fillId="0" borderId="67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4" fontId="8" fillId="0" borderId="41" xfId="0" applyNumberFormat="1" applyFont="1" applyBorder="1" applyAlignment="1">
      <alignment vertical="top" wrapText="1"/>
    </xf>
    <xf numFmtId="4" fontId="8" fillId="0" borderId="9" xfId="0" applyNumberFormat="1" applyFont="1" applyBorder="1" applyAlignment="1">
      <alignment vertical="top" wrapText="1"/>
    </xf>
    <xf numFmtId="4" fontId="8" fillId="0" borderId="35" xfId="0" applyNumberFormat="1" applyFont="1" applyBorder="1" applyAlignment="1">
      <alignment vertical="top" wrapText="1"/>
    </xf>
    <xf numFmtId="4" fontId="8" fillId="0" borderId="30" xfId="0" applyNumberFormat="1" applyFont="1" applyBorder="1" applyAlignment="1">
      <alignment vertical="top" wrapText="1"/>
    </xf>
    <xf numFmtId="4" fontId="7" fillId="0" borderId="24" xfId="0" applyNumberFormat="1" applyFont="1" applyFill="1" applyBorder="1" applyAlignment="1">
      <alignment vertical="top" wrapText="1"/>
    </xf>
    <xf numFmtId="49" fontId="8" fillId="5" borderId="24" xfId="0" applyNumberFormat="1" applyFont="1" applyFill="1" applyBorder="1" applyAlignment="1">
      <alignment horizontal="center" vertical="top" shrinkToFit="1"/>
    </xf>
    <xf numFmtId="49" fontId="8" fillId="5" borderId="25" xfId="0" applyNumberFormat="1" applyFont="1" applyFill="1" applyBorder="1" applyAlignment="1">
      <alignment horizontal="center" vertical="top" shrinkToFit="1"/>
    </xf>
    <xf numFmtId="49" fontId="8" fillId="5" borderId="17" xfId="0" applyNumberFormat="1" applyFont="1" applyFill="1" applyBorder="1" applyAlignment="1">
      <alignment horizontal="center" vertical="top" shrinkToFit="1"/>
    </xf>
    <xf numFmtId="49" fontId="7" fillId="2" borderId="24" xfId="0" applyNumberFormat="1" applyFont="1" applyFill="1" applyBorder="1" applyAlignment="1">
      <alignment horizontal="left" vertical="top" wrapText="1" shrinkToFit="1"/>
    </xf>
    <xf numFmtId="49" fontId="7" fillId="2" borderId="25" xfId="0" applyNumberFormat="1" applyFont="1" applyFill="1" applyBorder="1" applyAlignment="1">
      <alignment horizontal="left" vertical="top" wrapText="1" shrinkToFit="1"/>
    </xf>
    <xf numFmtId="49" fontId="7" fillId="2" borderId="17" xfId="0" applyNumberFormat="1" applyFont="1" applyFill="1" applyBorder="1" applyAlignment="1">
      <alignment horizontal="left" vertical="top" wrapText="1" shrinkToFit="1"/>
    </xf>
    <xf numFmtId="49" fontId="7" fillId="2" borderId="24" xfId="0" applyNumberFormat="1" applyFont="1" applyFill="1" applyBorder="1" applyAlignment="1">
      <alignment horizontal="center" vertical="top" wrapText="1" shrinkToFit="1"/>
    </xf>
    <xf numFmtId="49" fontId="7" fillId="2" borderId="25" xfId="0" applyNumberFormat="1" applyFont="1" applyFill="1" applyBorder="1" applyAlignment="1">
      <alignment horizontal="center" vertical="top" wrapText="1" shrinkToFit="1"/>
    </xf>
    <xf numFmtId="49" fontId="7" fillId="2" borderId="17" xfId="0" applyNumberFormat="1" applyFont="1" applyFill="1" applyBorder="1" applyAlignment="1">
      <alignment horizontal="center" vertical="top" wrapText="1" shrinkToFit="1"/>
    </xf>
    <xf numFmtId="49" fontId="6" fillId="2" borderId="24" xfId="0" applyNumberFormat="1" applyFont="1" applyFill="1" applyBorder="1" applyAlignment="1">
      <alignment horizontal="center" vertical="top" wrapText="1" shrinkToFit="1"/>
    </xf>
    <xf numFmtId="49" fontId="6" fillId="2" borderId="25" xfId="0" applyNumberFormat="1" applyFont="1" applyFill="1" applyBorder="1" applyAlignment="1">
      <alignment horizontal="center" vertical="top" wrapText="1" shrinkToFit="1"/>
    </xf>
    <xf numFmtId="49" fontId="6" fillId="2" borderId="17" xfId="0" applyNumberFormat="1" applyFont="1" applyFill="1" applyBorder="1" applyAlignment="1">
      <alignment horizontal="center" vertical="top" wrapText="1" shrinkToFit="1"/>
    </xf>
    <xf numFmtId="49" fontId="8" fillId="5" borderId="24" xfId="0" applyNumberFormat="1" applyFont="1" applyFill="1" applyBorder="1" applyAlignment="1">
      <alignment horizontal="center" vertical="top" wrapText="1" shrinkToFit="1"/>
    </xf>
    <xf numFmtId="49" fontId="8" fillId="5" borderId="17" xfId="0" applyNumberFormat="1" applyFont="1" applyFill="1" applyBorder="1" applyAlignment="1">
      <alignment horizontal="center" vertical="top" wrapText="1" shrinkToFit="1"/>
    </xf>
    <xf numFmtId="0" fontId="8" fillId="0" borderId="2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49" fontId="19" fillId="5" borderId="44" xfId="0" applyNumberFormat="1" applyFont="1" applyFill="1" applyBorder="1" applyAlignment="1">
      <alignment horizontal="center" vertical="top" wrapText="1" shrinkToFit="1"/>
    </xf>
    <xf numFmtId="49" fontId="8" fillId="5" borderId="25" xfId="0" applyNumberFormat="1" applyFont="1" applyFill="1" applyBorder="1" applyAlignment="1">
      <alignment horizontal="center" vertical="top" wrapText="1" shrinkToFit="1"/>
    </xf>
    <xf numFmtId="0" fontId="7" fillId="0" borderId="24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49" fontId="7" fillId="0" borderId="58" xfId="0" applyNumberFormat="1" applyFont="1" applyFill="1" applyBorder="1" applyAlignment="1">
      <alignment horizontal="center" vertical="top" wrapText="1" shrinkToFit="1"/>
    </xf>
    <xf numFmtId="49" fontId="7" fillId="0" borderId="0" xfId="0" applyNumberFormat="1" applyFont="1" applyFill="1" applyBorder="1" applyAlignment="1">
      <alignment horizontal="center" vertical="top" wrapText="1" shrinkToFit="1"/>
    </xf>
    <xf numFmtId="49" fontId="7" fillId="0" borderId="62" xfId="0" applyNumberFormat="1" applyFont="1" applyFill="1" applyBorder="1" applyAlignment="1">
      <alignment horizontal="center" vertical="top" wrapText="1" shrinkToFi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49" fontId="6" fillId="2" borderId="24" xfId="0" applyNumberFormat="1" applyFont="1" applyFill="1" applyBorder="1" applyAlignment="1">
      <alignment horizontal="left" vertical="top" wrapText="1" shrinkToFit="1"/>
    </xf>
    <xf numFmtId="49" fontId="6" fillId="2" borderId="25" xfId="0" applyNumberFormat="1" applyFont="1" applyFill="1" applyBorder="1" applyAlignment="1">
      <alignment horizontal="left" vertical="top" wrapText="1" shrinkToFit="1"/>
    </xf>
    <xf numFmtId="49" fontId="6" fillId="2" borderId="17" xfId="0" applyNumberFormat="1" applyFont="1" applyFill="1" applyBorder="1" applyAlignment="1">
      <alignment horizontal="left" vertical="top" wrapText="1" shrinkToFit="1"/>
    </xf>
    <xf numFmtId="0" fontId="4" fillId="0" borderId="38" xfId="0" applyFont="1" applyFill="1" applyBorder="1" applyAlignment="1">
      <alignment horizontal="center" vertical="top" wrapText="1"/>
    </xf>
    <xf numFmtId="0" fontId="4" fillId="0" borderId="55" xfId="0" applyFont="1" applyFill="1" applyBorder="1" applyAlignment="1">
      <alignment horizontal="center" vertical="top" wrapText="1"/>
    </xf>
    <xf numFmtId="49" fontId="6" fillId="6" borderId="24" xfId="0" applyNumberFormat="1" applyFont="1" applyFill="1" applyBorder="1" applyAlignment="1">
      <alignment horizontal="left" vertical="top" wrapText="1" shrinkToFit="1"/>
    </xf>
    <xf numFmtId="49" fontId="6" fillId="6" borderId="25" xfId="0" applyNumberFormat="1" applyFont="1" applyFill="1" applyBorder="1" applyAlignment="1">
      <alignment horizontal="left" vertical="top" wrapText="1" shrinkToFit="1"/>
    </xf>
    <xf numFmtId="49" fontId="6" fillId="6" borderId="17" xfId="0" applyNumberFormat="1" applyFont="1" applyFill="1" applyBorder="1" applyAlignment="1">
      <alignment horizontal="left" vertical="top" wrapText="1" shrinkToFit="1"/>
    </xf>
    <xf numFmtId="49" fontId="6" fillId="6" borderId="24" xfId="0" applyNumberFormat="1" applyFont="1" applyFill="1" applyBorder="1" applyAlignment="1">
      <alignment horizontal="center" vertical="top" wrapText="1" shrinkToFit="1"/>
    </xf>
    <xf numFmtId="49" fontId="6" fillId="6" borderId="25" xfId="0" applyNumberFormat="1" applyFont="1" applyFill="1" applyBorder="1" applyAlignment="1">
      <alignment horizontal="center" vertical="top" wrapText="1" shrinkToFit="1"/>
    </xf>
    <xf numFmtId="49" fontId="6" fillId="6" borderId="17" xfId="0" applyNumberFormat="1" applyFont="1" applyFill="1" applyBorder="1" applyAlignment="1">
      <alignment horizontal="center" vertical="top" wrapText="1" shrinkToFi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49" fontId="5" fillId="5" borderId="24" xfId="0" applyNumberFormat="1" applyFont="1" applyFill="1" applyBorder="1" applyAlignment="1">
      <alignment horizontal="center" vertical="top" wrapText="1" shrinkToFit="1"/>
    </xf>
    <xf numFmtId="49" fontId="5" fillId="5" borderId="25" xfId="0" applyNumberFormat="1" applyFont="1" applyFill="1" applyBorder="1" applyAlignment="1">
      <alignment horizontal="center" vertical="top" wrapText="1" shrinkToFit="1"/>
    </xf>
    <xf numFmtId="49" fontId="5" fillId="5" borderId="17" xfId="0" applyNumberFormat="1" applyFont="1" applyFill="1" applyBorder="1" applyAlignment="1">
      <alignment horizontal="center" vertical="top" wrapText="1" shrinkToFi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49" fontId="8" fillId="5" borderId="76" xfId="0" applyNumberFormat="1" applyFont="1" applyFill="1" applyBorder="1" applyAlignment="1">
      <alignment horizontal="center" vertical="top" wrapText="1" shrinkToFit="1"/>
    </xf>
    <xf numFmtId="49" fontId="8" fillId="5" borderId="77" xfId="0" applyNumberFormat="1" applyFont="1" applyFill="1" applyBorder="1" applyAlignment="1">
      <alignment horizontal="center" vertical="top" wrapText="1" shrinkToFit="1"/>
    </xf>
    <xf numFmtId="0" fontId="17" fillId="0" borderId="54" xfId="0" applyFont="1" applyBorder="1" applyAlignment="1">
      <alignment horizontal="center" vertical="top" wrapText="1"/>
    </xf>
    <xf numFmtId="0" fontId="17" fillId="0" borderId="53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7" fillId="2" borderId="43" xfId="0" applyNumberFormat="1" applyFont="1" applyFill="1" applyBorder="1" applyAlignment="1">
      <alignment horizontal="center" vertical="top" wrapText="1"/>
    </xf>
    <xf numFmtId="4" fontId="7" fillId="2" borderId="44" xfId="0" applyNumberFormat="1" applyFont="1" applyFill="1" applyBorder="1" applyAlignment="1">
      <alignment horizontal="center" vertical="top" wrapText="1"/>
    </xf>
    <xf numFmtId="4" fontId="7" fillId="2" borderId="34" xfId="0" applyNumberFormat="1" applyFont="1" applyFill="1" applyBorder="1" applyAlignment="1">
      <alignment horizontal="center" vertical="top" wrapText="1"/>
    </xf>
    <xf numFmtId="0" fontId="7" fillId="2" borderId="75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78" xfId="0" applyFont="1" applyFill="1" applyBorder="1" applyAlignment="1">
      <alignment horizontal="center" vertical="top" wrapText="1"/>
    </xf>
    <xf numFmtId="4" fontId="8" fillId="0" borderId="43" xfId="0" applyNumberFormat="1" applyFont="1" applyFill="1" applyBorder="1" applyAlignment="1">
      <alignment horizontal="center" vertical="top" wrapText="1"/>
    </xf>
    <xf numFmtId="4" fontId="8" fillId="0" borderId="44" xfId="0" applyNumberFormat="1" applyFont="1" applyFill="1" applyBorder="1" applyAlignment="1">
      <alignment horizontal="center" vertical="top" wrapText="1"/>
    </xf>
    <xf numFmtId="4" fontId="8" fillId="0" borderId="34" xfId="0" applyNumberFormat="1" applyFont="1" applyFill="1" applyBorder="1" applyAlignment="1">
      <alignment horizontal="center" vertical="top" wrapText="1"/>
    </xf>
    <xf numFmtId="0" fontId="8" fillId="0" borderId="75" xfId="0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78" xfId="0" applyFont="1" applyFill="1" applyBorder="1" applyAlignment="1">
      <alignment horizontal="center" vertical="top" wrapText="1"/>
    </xf>
    <xf numFmtId="4" fontId="8" fillId="0" borderId="76" xfId="0" applyNumberFormat="1" applyFont="1" applyFill="1" applyBorder="1" applyAlignment="1">
      <alignment horizontal="center" vertical="top" wrapText="1"/>
    </xf>
    <xf numFmtId="4" fontId="8" fillId="0" borderId="77" xfId="0" applyNumberFormat="1" applyFont="1" applyFill="1" applyBorder="1" applyAlignment="1">
      <alignment horizontal="center" vertical="top" wrapText="1"/>
    </xf>
    <xf numFmtId="4" fontId="8" fillId="0" borderId="36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49" fontId="8" fillId="0" borderId="24" xfId="0" applyNumberFormat="1" applyFont="1" applyFill="1" applyBorder="1" applyAlignment="1">
      <alignment horizontal="left" vertical="top" wrapText="1" shrinkToFit="1"/>
    </xf>
    <xf numFmtId="49" fontId="8" fillId="0" borderId="25" xfId="0" applyNumberFormat="1" applyFont="1" applyFill="1" applyBorder="1" applyAlignment="1">
      <alignment horizontal="left" vertical="top" wrapText="1" shrinkToFit="1"/>
    </xf>
    <xf numFmtId="49" fontId="8" fillId="0" borderId="17" xfId="0" applyNumberFormat="1" applyFont="1" applyFill="1" applyBorder="1" applyAlignment="1">
      <alignment horizontal="left" vertical="top" wrapText="1" shrinkToFit="1"/>
    </xf>
    <xf numFmtId="0" fontId="8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7" fillId="2" borderId="76" xfId="0" applyFont="1" applyFill="1" applyBorder="1" applyAlignment="1">
      <alignment horizontal="left" vertical="top" wrapText="1"/>
    </xf>
    <xf numFmtId="0" fontId="7" fillId="2" borderId="77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7" fillId="2" borderId="77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0" fontId="7" fillId="2" borderId="5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62" xfId="0" applyFont="1" applyFill="1" applyBorder="1" applyAlignment="1">
      <alignment horizontal="left" vertical="top" wrapText="1"/>
    </xf>
    <xf numFmtId="4" fontId="7" fillId="2" borderId="68" xfId="0" applyNumberFormat="1" applyFont="1" applyFill="1" applyBorder="1" applyAlignment="1">
      <alignment horizontal="center" vertical="top" wrapText="1"/>
    </xf>
    <xf numFmtId="4" fontId="7" fillId="2" borderId="63" xfId="0" applyNumberFormat="1" applyFont="1" applyFill="1" applyBorder="1" applyAlignment="1">
      <alignment horizontal="center" vertical="top" wrapText="1"/>
    </xf>
    <xf numFmtId="4" fontId="7" fillId="2" borderId="35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8" fillId="0" borderId="5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62" xfId="0" applyFont="1" applyFill="1" applyBorder="1" applyAlignment="1">
      <alignment horizontal="left" vertical="top" wrapText="1"/>
    </xf>
    <xf numFmtId="4" fontId="8" fillId="0" borderId="68" xfId="0" applyNumberFormat="1" applyFont="1" applyFill="1" applyBorder="1" applyAlignment="1">
      <alignment horizontal="center" vertical="top" wrapText="1"/>
    </xf>
    <xf numFmtId="4" fontId="8" fillId="0" borderId="63" xfId="0" applyNumberFormat="1" applyFont="1" applyFill="1" applyBorder="1" applyAlignment="1">
      <alignment horizontal="center" vertical="top" wrapText="1"/>
    </xf>
    <xf numFmtId="4" fontId="8" fillId="0" borderId="35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7" fillId="0" borderId="76" xfId="0" applyFont="1" applyFill="1" applyBorder="1" applyAlignment="1">
      <alignment horizontal="left" vertical="top" wrapText="1"/>
    </xf>
    <xf numFmtId="0" fontId="7" fillId="0" borderId="77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4" fontId="7" fillId="0" borderId="43" xfId="0" applyNumberFormat="1" applyFont="1" applyBorder="1" applyAlignment="1">
      <alignment horizontal="center" vertical="top" wrapText="1"/>
    </xf>
    <xf numFmtId="4" fontId="7" fillId="0" borderId="44" xfId="0" applyNumberFormat="1" applyFont="1" applyBorder="1" applyAlignment="1">
      <alignment horizontal="center" vertical="top" wrapText="1"/>
    </xf>
    <xf numFmtId="4" fontId="7" fillId="0" borderId="34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left" vertical="top" wrapText="1"/>
    </xf>
    <xf numFmtId="4" fontId="8" fillId="0" borderId="43" xfId="0" applyNumberFormat="1" applyFont="1" applyBorder="1" applyAlignment="1">
      <alignment horizontal="center" vertical="top" wrapText="1"/>
    </xf>
    <xf numFmtId="4" fontId="8" fillId="0" borderId="44" xfId="0" applyNumberFormat="1" applyFont="1" applyBorder="1" applyAlignment="1">
      <alignment horizontal="center" vertical="top" wrapText="1"/>
    </xf>
    <xf numFmtId="4" fontId="8" fillId="0" borderId="34" xfId="0" applyNumberFormat="1" applyFont="1" applyBorder="1" applyAlignment="1">
      <alignment horizontal="center" vertical="top" wrapText="1"/>
    </xf>
    <xf numFmtId="0" fontId="8" fillId="0" borderId="43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left" vertical="top" wrapText="1"/>
    </xf>
    <xf numFmtId="0" fontId="8" fillId="0" borderId="75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78" xfId="0" applyFont="1" applyBorder="1" applyAlignment="1">
      <alignment horizontal="center" vertical="top" wrapText="1"/>
    </xf>
    <xf numFmtId="4" fontId="8" fillId="0" borderId="68" xfId="0" applyNumberFormat="1" applyFont="1" applyBorder="1" applyAlignment="1">
      <alignment horizontal="center" vertical="top" wrapText="1"/>
    </xf>
    <xf numFmtId="4" fontId="8" fillId="0" borderId="63" xfId="0" applyNumberFormat="1" applyFont="1" applyBorder="1" applyAlignment="1">
      <alignment horizontal="center" vertical="top" wrapText="1"/>
    </xf>
    <xf numFmtId="4" fontId="8" fillId="0" borderId="35" xfId="0" applyNumberFormat="1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7" fillId="2" borderId="58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2" xfId="0" applyFont="1" applyFill="1" applyBorder="1" applyAlignment="1">
      <alignment horizontal="center" vertical="top" wrapText="1"/>
    </xf>
    <xf numFmtId="0" fontId="8" fillId="0" borderId="68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9" fontId="7" fillId="0" borderId="24" xfId="0" applyNumberFormat="1" applyFont="1" applyFill="1" applyBorder="1" applyAlignment="1">
      <alignment horizontal="left" vertical="top" wrapText="1" shrinkToFit="1"/>
    </xf>
    <xf numFmtId="49" fontId="7" fillId="0" borderId="25" xfId="0" applyNumberFormat="1" applyFont="1" applyFill="1" applyBorder="1" applyAlignment="1">
      <alignment horizontal="left" vertical="top" wrapText="1" shrinkToFit="1"/>
    </xf>
    <xf numFmtId="49" fontId="7" fillId="0" borderId="17" xfId="0" applyNumberFormat="1" applyFont="1" applyFill="1" applyBorder="1" applyAlignment="1">
      <alignment horizontal="left" vertical="top" wrapText="1" shrinkToFit="1"/>
    </xf>
    <xf numFmtId="0" fontId="7" fillId="0" borderId="0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left" vertical="top" wrapText="1"/>
    </xf>
    <xf numFmtId="0" fontId="7" fillId="0" borderId="39" xfId="0" applyFont="1" applyFill="1" applyBorder="1" applyAlignment="1">
      <alignment horizontal="center" vertical="top" wrapText="1"/>
    </xf>
    <xf numFmtId="4" fontId="8" fillId="0" borderId="75" xfId="0" applyNumberFormat="1" applyFont="1" applyFill="1" applyBorder="1" applyAlignment="1">
      <alignment horizontal="center" vertical="top" wrapText="1"/>
    </xf>
    <xf numFmtId="4" fontId="8" fillId="0" borderId="32" xfId="0" applyNumberFormat="1" applyFont="1" applyFill="1" applyBorder="1" applyAlignment="1">
      <alignment horizontal="center" vertical="top" wrapText="1"/>
    </xf>
    <xf numFmtId="4" fontId="8" fillId="0" borderId="78" xfId="0" applyNumberFormat="1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4" fontId="8" fillId="0" borderId="38" xfId="0" applyNumberFormat="1" applyFont="1" applyBorder="1" applyAlignment="1">
      <alignment horizontal="center" vertical="top" wrapText="1"/>
    </xf>
    <xf numFmtId="4" fontId="8" fillId="0" borderId="39" xfId="0" applyNumberFormat="1" applyFont="1" applyBorder="1" applyAlignment="1">
      <alignment horizontal="center" vertical="top" wrapText="1"/>
    </xf>
    <xf numFmtId="4" fontId="8" fillId="0" borderId="55" xfId="0" applyNumberFormat="1" applyFont="1" applyBorder="1" applyAlignment="1">
      <alignment horizontal="center" vertical="top" wrapText="1"/>
    </xf>
    <xf numFmtId="4" fontId="8" fillId="0" borderId="75" xfId="0" applyNumberFormat="1" applyFont="1" applyBorder="1" applyAlignment="1">
      <alignment horizontal="center" vertical="top" wrapText="1"/>
    </xf>
    <xf numFmtId="4" fontId="8" fillId="0" borderId="32" xfId="0" applyNumberFormat="1" applyFont="1" applyBorder="1" applyAlignment="1">
      <alignment horizontal="center" vertical="top" wrapText="1"/>
    </xf>
    <xf numFmtId="4" fontId="8" fillId="0" borderId="78" xfId="0" applyNumberFormat="1" applyFont="1" applyBorder="1" applyAlignment="1">
      <alignment horizontal="center" vertical="top" wrapText="1"/>
    </xf>
    <xf numFmtId="4" fontId="8" fillId="0" borderId="26" xfId="0" applyNumberFormat="1" applyFont="1" applyFill="1" applyBorder="1" applyAlignment="1">
      <alignment horizontal="center" vertical="top" wrapText="1"/>
    </xf>
    <xf numFmtId="4" fontId="8" fillId="0" borderId="33" xfId="0" applyNumberFormat="1" applyFont="1" applyBorder="1" applyAlignment="1">
      <alignment horizontal="center" vertical="top" wrapText="1"/>
    </xf>
    <xf numFmtId="4" fontId="8" fillId="0" borderId="21" xfId="0" applyNumberFormat="1" applyFont="1" applyBorder="1" applyAlignment="1">
      <alignment horizontal="center" vertical="top" wrapText="1"/>
    </xf>
    <xf numFmtId="4" fontId="8" fillId="0" borderId="30" xfId="0" applyNumberFormat="1" applyFont="1" applyBorder="1" applyAlignment="1">
      <alignment horizontal="center" vertical="top" wrapText="1"/>
    </xf>
    <xf numFmtId="4" fontId="8" fillId="0" borderId="11" xfId="0" applyNumberFormat="1" applyFont="1" applyBorder="1" applyAlignment="1">
      <alignment horizontal="center" vertical="top" wrapText="1"/>
    </xf>
    <xf numFmtId="4" fontId="8" fillId="0" borderId="25" xfId="0" applyNumberFormat="1" applyFont="1" applyBorder="1" applyAlignment="1">
      <alignment horizontal="center" vertical="top" wrapText="1"/>
    </xf>
    <xf numFmtId="4" fontId="8" fillId="0" borderId="17" xfId="0" applyNumberFormat="1" applyFont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4" fontId="8" fillId="0" borderId="33" xfId="0" applyNumberFormat="1" applyFont="1" applyFill="1" applyBorder="1" applyAlignment="1">
      <alignment horizontal="center" vertical="top" wrapText="1"/>
    </xf>
    <xf numFmtId="4" fontId="8" fillId="0" borderId="21" xfId="0" applyNumberFormat="1" applyFont="1" applyFill="1" applyBorder="1" applyAlignment="1">
      <alignment horizontal="center" vertical="top" wrapText="1"/>
    </xf>
    <xf numFmtId="4" fontId="8" fillId="0" borderId="30" xfId="0" applyNumberFormat="1" applyFont="1" applyFill="1" applyBorder="1" applyAlignment="1">
      <alignment horizontal="center" vertical="top" wrapText="1"/>
    </xf>
    <xf numFmtId="4" fontId="8" fillId="0" borderId="47" xfId="0" applyNumberFormat="1" applyFont="1" applyBorder="1" applyAlignment="1">
      <alignment horizontal="center" vertical="top" wrapText="1"/>
    </xf>
    <xf numFmtId="4" fontId="8" fillId="0" borderId="48" xfId="0" applyNumberFormat="1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4" fontId="8" fillId="0" borderId="45" xfId="0" applyNumberFormat="1" applyFont="1" applyBorder="1" applyAlignment="1">
      <alignment horizontal="center" vertical="top" wrapText="1"/>
    </xf>
    <xf numFmtId="4" fontId="8" fillId="0" borderId="49" xfId="0" applyNumberFormat="1" applyFont="1" applyBorder="1" applyAlignment="1">
      <alignment horizontal="center" vertical="top" wrapText="1"/>
    </xf>
    <xf numFmtId="4" fontId="8" fillId="0" borderId="46" xfId="0" applyNumberFormat="1" applyFont="1" applyBorder="1" applyAlignment="1">
      <alignment horizontal="center" vertical="top" wrapText="1"/>
    </xf>
    <xf numFmtId="4" fontId="8" fillId="0" borderId="48" xfId="0" applyNumberFormat="1" applyFont="1" applyBorder="1" applyAlignment="1">
      <alignment horizontal="center" vertical="top" wrapText="1"/>
    </xf>
    <xf numFmtId="4" fontId="8" fillId="0" borderId="50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31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4" fontId="8" fillId="0" borderId="52" xfId="0" applyNumberFormat="1" applyFont="1" applyBorder="1" applyAlignment="1">
      <alignment horizontal="center" vertical="top" wrapText="1"/>
    </xf>
    <xf numFmtId="4" fontId="8" fillId="0" borderId="46" xfId="0" applyNumberFormat="1" applyFont="1" applyFill="1" applyBorder="1" applyAlignment="1">
      <alignment horizontal="center" vertical="top" wrapText="1"/>
    </xf>
    <xf numFmtId="0" fontId="8" fillId="0" borderId="76" xfId="0" applyFont="1" applyFill="1" applyBorder="1" applyAlignment="1">
      <alignment horizontal="center" vertical="top" wrapText="1"/>
    </xf>
    <xf numFmtId="0" fontId="8" fillId="0" borderId="77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4" fontId="8" fillId="0" borderId="74" xfId="0" applyNumberFormat="1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4" fontId="8" fillId="0" borderId="51" xfId="0" applyNumberFormat="1" applyFont="1" applyBorder="1" applyAlignment="1">
      <alignment horizontal="center" vertical="top" wrapText="1"/>
    </xf>
    <xf numFmtId="0" fontId="8" fillId="0" borderId="73" xfId="0" applyFont="1" applyFill="1" applyBorder="1" applyAlignment="1">
      <alignment horizontal="center" vertical="top" wrapText="1"/>
    </xf>
    <xf numFmtId="4" fontId="7" fillId="0" borderId="11" xfId="0" applyNumberFormat="1" applyFont="1" applyFill="1" applyBorder="1" applyAlignment="1">
      <alignment horizontal="center"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4" fontId="7" fillId="0" borderId="17" xfId="0" applyNumberFormat="1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2" borderId="55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55" xfId="0" applyFont="1" applyFill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 wrapText="1"/>
    </xf>
    <xf numFmtId="0" fontId="8" fillId="0" borderId="58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0" fontId="7" fillId="0" borderId="58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62" xfId="0" applyFont="1" applyFill="1" applyBorder="1" applyAlignment="1">
      <alignment horizontal="left" vertical="top" wrapText="1"/>
    </xf>
    <xf numFmtId="4" fontId="7" fillId="0" borderId="68" xfId="0" applyNumberFormat="1" applyFont="1" applyFill="1" applyBorder="1" applyAlignment="1">
      <alignment horizontal="center" vertical="top" wrapText="1"/>
    </xf>
    <xf numFmtId="4" fontId="7" fillId="0" borderId="63" xfId="0" applyNumberFormat="1" applyFont="1" applyFill="1" applyBorder="1" applyAlignment="1">
      <alignment horizontal="center" vertical="top" wrapText="1"/>
    </xf>
    <xf numFmtId="4" fontId="7" fillId="0" borderId="35" xfId="0" applyNumberFormat="1" applyFont="1" applyFill="1" applyBorder="1" applyAlignment="1">
      <alignment horizontal="center" vertical="top" wrapText="1"/>
    </xf>
    <xf numFmtId="0" fontId="7" fillId="0" borderId="75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78" xfId="0" applyFont="1" applyFill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76" xfId="0" applyFont="1" applyFill="1" applyBorder="1" applyAlignment="1">
      <alignment horizontal="left" vertical="top" wrapText="1"/>
    </xf>
    <xf numFmtId="0" fontId="8" fillId="0" borderId="77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left" vertical="top" wrapText="1"/>
    </xf>
    <xf numFmtId="0" fontId="8" fillId="0" borderId="68" xfId="0" applyFont="1" applyFill="1" applyBorder="1" applyAlignment="1">
      <alignment horizontal="left" vertical="top" wrapText="1"/>
    </xf>
    <xf numFmtId="0" fontId="8" fillId="0" borderId="63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4" fontId="8" fillId="2" borderId="43" xfId="0" applyNumberFormat="1" applyFont="1" applyFill="1" applyBorder="1" applyAlignment="1">
      <alignment horizontal="center" vertical="top" wrapText="1"/>
    </xf>
    <xf numFmtId="4" fontId="8" fillId="2" borderId="44" xfId="0" applyNumberFormat="1" applyFont="1" applyFill="1" applyBorder="1" applyAlignment="1">
      <alignment horizontal="center" vertical="top" wrapText="1"/>
    </xf>
    <xf numFmtId="4" fontId="8" fillId="2" borderId="34" xfId="0" applyNumberFormat="1" applyFont="1" applyFill="1" applyBorder="1" applyAlignment="1">
      <alignment horizontal="center" vertical="top" wrapText="1"/>
    </xf>
    <xf numFmtId="0" fontId="8" fillId="2" borderId="75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0" fontId="8" fillId="2" borderId="78" xfId="0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4" fontId="7" fillId="0" borderId="43" xfId="0" applyNumberFormat="1" applyFont="1" applyFill="1" applyBorder="1" applyAlignment="1">
      <alignment horizontal="center" vertical="top" wrapText="1"/>
    </xf>
    <xf numFmtId="4" fontId="7" fillId="0" borderId="44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4" fontId="7" fillId="0" borderId="75" xfId="0" applyNumberFormat="1" applyFont="1" applyFill="1" applyBorder="1" applyAlignment="1">
      <alignment horizontal="center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78" xfId="0" applyNumberFormat="1" applyFont="1" applyFill="1" applyBorder="1" applyAlignment="1">
      <alignment horizontal="center" vertical="top" wrapText="1"/>
    </xf>
    <xf numFmtId="2" fontId="8" fillId="0" borderId="26" xfId="0" applyNumberFormat="1" applyFont="1" applyBorder="1" applyAlignment="1">
      <alignment horizontal="center" vertical="top" wrapText="1"/>
    </xf>
    <xf numFmtId="2" fontId="8" fillId="0" borderId="78" xfId="0" applyNumberFormat="1" applyFont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49" fontId="7" fillId="2" borderId="24" xfId="0" applyNumberFormat="1" applyFont="1" applyFill="1" applyBorder="1" applyAlignment="1">
      <alignment horizontal="left" vertical="top" wrapText="1"/>
    </xf>
    <xf numFmtId="49" fontId="7" fillId="2" borderId="25" xfId="0" applyNumberFormat="1" applyFont="1" applyFill="1" applyBorder="1" applyAlignment="1">
      <alignment horizontal="left" vertical="top" wrapText="1"/>
    </xf>
    <xf numFmtId="49" fontId="7" fillId="2" borderId="17" xfId="0" applyNumberFormat="1" applyFont="1" applyFill="1" applyBorder="1" applyAlignment="1">
      <alignment horizontal="left" vertical="top" wrapText="1"/>
    </xf>
    <xf numFmtId="49" fontId="7" fillId="0" borderId="24" xfId="0" applyNumberFormat="1" applyFont="1" applyFill="1" applyBorder="1" applyAlignment="1">
      <alignment horizontal="left" vertical="top" wrapText="1"/>
    </xf>
    <xf numFmtId="49" fontId="7" fillId="0" borderId="25" xfId="0" applyNumberFormat="1" applyFont="1" applyFill="1" applyBorder="1" applyAlignment="1">
      <alignment horizontal="left" vertical="top" wrapText="1"/>
    </xf>
    <xf numFmtId="49" fontId="7" fillId="0" borderId="17" xfId="0" applyNumberFormat="1" applyFont="1" applyFill="1" applyBorder="1" applyAlignment="1">
      <alignment horizontal="left" vertical="top" wrapText="1"/>
    </xf>
    <xf numFmtId="49" fontId="8" fillId="0" borderId="24" xfId="0" applyNumberFormat="1" applyFont="1" applyFill="1" applyBorder="1" applyAlignment="1">
      <alignment horizontal="left" vertical="top" wrapText="1"/>
    </xf>
    <xf numFmtId="49" fontId="8" fillId="0" borderId="25" xfId="0" applyNumberFormat="1" applyFont="1" applyFill="1" applyBorder="1" applyAlignment="1">
      <alignment horizontal="left" vertical="top" wrapText="1"/>
    </xf>
    <xf numFmtId="49" fontId="8" fillId="0" borderId="17" xfId="0" applyNumberFormat="1" applyFont="1" applyFill="1" applyBorder="1" applyAlignment="1">
      <alignment horizontal="left" vertical="top" wrapText="1"/>
    </xf>
    <xf numFmtId="2" fontId="8" fillId="0" borderId="24" xfId="0" applyNumberFormat="1" applyFont="1" applyFill="1" applyBorder="1" applyAlignment="1">
      <alignment horizontal="left" vertical="top" wrapText="1" shrinkToFit="1"/>
    </xf>
    <xf numFmtId="2" fontId="8" fillId="0" borderId="25" xfId="0" applyNumberFormat="1" applyFont="1" applyFill="1" applyBorder="1" applyAlignment="1">
      <alignment horizontal="left" vertical="top" wrapText="1" shrinkToFit="1"/>
    </xf>
    <xf numFmtId="2" fontId="8" fillId="0" borderId="17" xfId="0" applyNumberFormat="1" applyFont="1" applyFill="1" applyBorder="1" applyAlignment="1">
      <alignment horizontal="left" vertical="top" wrapText="1" shrinkToFit="1"/>
    </xf>
    <xf numFmtId="0" fontId="8" fillId="0" borderId="38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8" fillId="0" borderId="55" xfId="0" applyFont="1" applyFill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 wrapText="1"/>
    </xf>
    <xf numFmtId="0" fontId="7" fillId="0" borderId="75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78" xfId="0" applyFont="1" applyBorder="1" applyAlignment="1">
      <alignment horizontal="center" vertical="top" wrapText="1"/>
    </xf>
    <xf numFmtId="4" fontId="8" fillId="0" borderId="31" xfId="0" applyNumberFormat="1" applyFont="1" applyBorder="1" applyAlignment="1">
      <alignment horizontal="center" vertical="top" wrapText="1"/>
    </xf>
    <xf numFmtId="49" fontId="7" fillId="5" borderId="79" xfId="0" applyNumberFormat="1" applyFont="1" applyFill="1" applyBorder="1" applyAlignment="1">
      <alignment horizontal="left" vertical="top" wrapText="1" shrinkToFit="1"/>
    </xf>
    <xf numFmtId="49" fontId="7" fillId="5" borderId="65" xfId="0" applyNumberFormat="1" applyFont="1" applyFill="1" applyBorder="1" applyAlignment="1">
      <alignment horizontal="left" vertical="top" wrapText="1" shrinkToFit="1"/>
    </xf>
    <xf numFmtId="49" fontId="7" fillId="5" borderId="72" xfId="0" applyNumberFormat="1" applyFont="1" applyFill="1" applyBorder="1" applyAlignment="1">
      <alignment horizontal="left" vertical="top" wrapText="1" shrinkToFit="1"/>
    </xf>
    <xf numFmtId="49" fontId="8" fillId="0" borderId="43" xfId="0" applyNumberFormat="1" applyFont="1" applyFill="1" applyBorder="1" applyAlignment="1">
      <alignment horizontal="left" vertical="top" wrapText="1" shrinkToFit="1"/>
    </xf>
    <xf numFmtId="49" fontId="8" fillId="0" borderId="44" xfId="0" applyNumberFormat="1" applyFont="1" applyFill="1" applyBorder="1" applyAlignment="1">
      <alignment horizontal="left" vertical="top" wrapText="1" shrinkToFit="1"/>
    </xf>
    <xf numFmtId="49" fontId="8" fillId="0" borderId="34" xfId="0" applyNumberFormat="1" applyFont="1" applyFill="1" applyBorder="1" applyAlignment="1">
      <alignment horizontal="left" vertical="top" wrapText="1" shrinkToFit="1"/>
    </xf>
    <xf numFmtId="49" fontId="8" fillId="0" borderId="28" xfId="0" applyNumberFormat="1" applyFont="1" applyFill="1" applyBorder="1" applyAlignment="1">
      <alignment horizontal="left" vertical="top" wrapText="1" shrinkToFit="1"/>
    </xf>
    <xf numFmtId="49" fontId="7" fillId="5" borderId="16" xfId="0" applyNumberFormat="1" applyFont="1" applyFill="1" applyBorder="1" applyAlignment="1">
      <alignment horizontal="center" vertical="top" wrapText="1" shrinkToFit="1"/>
    </xf>
    <xf numFmtId="49" fontId="7" fillId="5" borderId="20" xfId="0" applyNumberFormat="1" applyFont="1" applyFill="1" applyBorder="1" applyAlignment="1">
      <alignment horizontal="center" vertical="top" wrapText="1" shrinkToFit="1"/>
    </xf>
    <xf numFmtId="49" fontId="7" fillId="5" borderId="11" xfId="0" applyNumberFormat="1" applyFont="1" applyFill="1" applyBorder="1" applyAlignment="1">
      <alignment horizontal="center" vertical="top" wrapText="1" shrinkToFit="1"/>
    </xf>
    <xf numFmtId="0" fontId="7" fillId="0" borderId="38" xfId="0" applyFont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left" vertical="top" wrapText="1" shrinkToFit="1"/>
    </xf>
    <xf numFmtId="49" fontId="8" fillId="0" borderId="20" xfId="0" applyNumberFormat="1" applyFont="1" applyFill="1" applyBorder="1" applyAlignment="1">
      <alignment horizontal="left" vertical="top" wrapText="1" shrinkToFit="1"/>
    </xf>
    <xf numFmtId="49" fontId="8" fillId="0" borderId="11" xfId="0" applyNumberFormat="1" applyFont="1" applyFill="1" applyBorder="1" applyAlignment="1">
      <alignment horizontal="left" vertical="top" wrapText="1" shrinkToFit="1"/>
    </xf>
    <xf numFmtId="4" fontId="8" fillId="0" borderId="24" xfId="0" applyNumberFormat="1" applyFont="1" applyFill="1" applyBorder="1" applyAlignment="1">
      <alignment horizontal="left" vertical="top" wrapText="1"/>
    </xf>
    <xf numFmtId="4" fontId="8" fillId="0" borderId="25" xfId="0" applyNumberFormat="1" applyFont="1" applyFill="1" applyBorder="1" applyAlignment="1">
      <alignment horizontal="left" vertical="top" wrapText="1"/>
    </xf>
    <xf numFmtId="4" fontId="8" fillId="0" borderId="17" xfId="0" applyNumberFormat="1" applyFont="1" applyFill="1" applyBorder="1" applyAlignment="1">
      <alignment horizontal="left" vertical="top" wrapText="1"/>
    </xf>
    <xf numFmtId="49" fontId="8" fillId="0" borderId="23" xfId="0" applyNumberFormat="1" applyFont="1" applyFill="1" applyBorder="1" applyAlignment="1">
      <alignment horizontal="left" vertical="top" wrapText="1" shrinkToFit="1"/>
    </xf>
    <xf numFmtId="0" fontId="8" fillId="0" borderId="76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center" vertical="top" wrapText="1"/>
    </xf>
    <xf numFmtId="0" fontId="8" fillId="0" borderId="77" xfId="0" applyFont="1" applyBorder="1" applyAlignment="1">
      <alignment horizontal="center" vertical="top" wrapText="1"/>
    </xf>
    <xf numFmtId="4" fontId="8" fillId="0" borderId="41" xfId="0" applyNumberFormat="1" applyFont="1" applyBorder="1" applyAlignment="1">
      <alignment horizontal="center" vertical="top" wrapText="1"/>
    </xf>
    <xf numFmtId="0" fontId="8" fillId="0" borderId="72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48" xfId="0" applyFont="1" applyBorder="1" applyAlignment="1">
      <alignment horizontal="center" vertical="top" wrapText="1"/>
    </xf>
    <xf numFmtId="4" fontId="8" fillId="0" borderId="74" xfId="0" applyNumberFormat="1" applyFont="1" applyBorder="1" applyAlignment="1">
      <alignment horizontal="center" vertical="top" wrapText="1"/>
    </xf>
    <xf numFmtId="4" fontId="8" fillId="0" borderId="36" xfId="0" applyNumberFormat="1" applyFont="1" applyBorder="1" applyAlignment="1">
      <alignment horizontal="center" vertical="top" wrapText="1"/>
    </xf>
    <xf numFmtId="4" fontId="8" fillId="0" borderId="9" xfId="0" applyNumberFormat="1" applyFont="1" applyBorder="1" applyAlignment="1">
      <alignment horizontal="center" vertical="top" wrapText="1"/>
    </xf>
    <xf numFmtId="49" fontId="7" fillId="0" borderId="16" xfId="0" applyNumberFormat="1" applyFont="1" applyFill="1" applyBorder="1" applyAlignment="1">
      <alignment horizontal="left" vertical="top" wrapText="1" shrinkToFit="1"/>
    </xf>
    <xf numFmtId="49" fontId="7" fillId="0" borderId="20" xfId="0" applyNumberFormat="1" applyFont="1" applyFill="1" applyBorder="1" applyAlignment="1">
      <alignment horizontal="left" vertical="top" wrapText="1" shrinkToFit="1"/>
    </xf>
    <xf numFmtId="49" fontId="7" fillId="0" borderId="11" xfId="0" applyNumberFormat="1" applyFont="1" applyFill="1" applyBorder="1" applyAlignment="1">
      <alignment horizontal="left" vertical="top" wrapText="1" shrinkToFit="1"/>
    </xf>
    <xf numFmtId="0" fontId="7" fillId="0" borderId="16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8" fillId="0" borderId="43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79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4" fontId="8" fillId="0" borderId="76" xfId="0" applyNumberFormat="1" applyFont="1" applyBorder="1" applyAlignment="1">
      <alignment horizontal="center" vertical="top" wrapText="1"/>
    </xf>
    <xf numFmtId="4" fontId="8" fillId="0" borderId="77" xfId="0" applyNumberFormat="1" applyFont="1" applyBorder="1" applyAlignment="1">
      <alignment horizontal="center" vertical="top" wrapText="1"/>
    </xf>
    <xf numFmtId="0" fontId="7" fillId="2" borderId="68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0" borderId="68" xfId="0" applyFont="1" applyFill="1" applyBorder="1" applyAlignment="1">
      <alignment horizontal="left" vertical="top" wrapText="1"/>
    </xf>
    <xf numFmtId="0" fontId="7" fillId="0" borderId="63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75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7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3" workbookViewId="0">
      <selection sqref="A1:I48"/>
    </sheetView>
  </sheetViews>
  <sheetFormatPr defaultRowHeight="15" x14ac:dyDescent="0.25"/>
  <cols>
    <col min="1" max="1" width="56.28515625" customWidth="1"/>
    <col min="2" max="3" width="16.5703125" customWidth="1"/>
    <col min="4" max="8" width="16" customWidth="1"/>
    <col min="9" max="9" width="18.42578125" customWidth="1"/>
  </cols>
  <sheetData>
    <row r="1" spans="1:9" ht="26.25" thickBot="1" x14ac:dyDescent="0.3">
      <c r="A1" s="294" t="s">
        <v>160</v>
      </c>
      <c r="B1" s="301">
        <v>2014</v>
      </c>
      <c r="C1" s="301">
        <v>2015</v>
      </c>
      <c r="D1" s="309">
        <v>2016</v>
      </c>
      <c r="E1" s="310">
        <v>2017</v>
      </c>
      <c r="F1" s="310">
        <v>2018</v>
      </c>
      <c r="G1" s="310">
        <v>2019</v>
      </c>
      <c r="H1" s="310">
        <v>2020</v>
      </c>
      <c r="I1" s="310" t="s">
        <v>1</v>
      </c>
    </row>
    <row r="2" spans="1:9" ht="15.75" thickBot="1" x14ac:dyDescent="0.3">
      <c r="A2" s="71">
        <v>2</v>
      </c>
      <c r="B2" s="302">
        <v>3</v>
      </c>
      <c r="C2" s="302">
        <v>4</v>
      </c>
      <c r="D2" s="71">
        <v>5</v>
      </c>
      <c r="E2" s="16">
        <v>6</v>
      </c>
      <c r="F2" s="16">
        <v>7</v>
      </c>
      <c r="G2" s="16">
        <v>8</v>
      </c>
      <c r="H2" s="16">
        <v>9</v>
      </c>
      <c r="I2" s="16">
        <v>10</v>
      </c>
    </row>
    <row r="3" spans="1:9" ht="30" customHeight="1" thickBot="1" x14ac:dyDescent="0.3">
      <c r="A3" s="295" t="str">
        <f>'таблица (всего)'!C3</f>
        <v>«Развитие здравоохранения Ивановской области» 
всего, в том числе:</v>
      </c>
      <c r="B3" s="303">
        <f>'таблица (всего)'!D3</f>
        <v>13593092033.76</v>
      </c>
      <c r="C3" s="303">
        <f>'таблица (всего)'!E3</f>
        <v>14799453930.66</v>
      </c>
      <c r="D3" s="303">
        <f>'таблица (всего)'!F3</f>
        <v>14236337661.650002</v>
      </c>
      <c r="E3" s="303">
        <f>'таблица (всего)'!G3</f>
        <v>14396649354.700001</v>
      </c>
      <c r="F3" s="303">
        <f>'таблица (всего)'!H3</f>
        <v>15448116190.700001</v>
      </c>
      <c r="G3" s="303">
        <f>'таблица (всего)'!I3</f>
        <v>15985798714.290001</v>
      </c>
      <c r="H3" s="303">
        <f>'таблица (всего)'!J3</f>
        <v>15901356014.290001</v>
      </c>
      <c r="I3" s="303">
        <f>'таблица (всего)'!K3</f>
        <v>104360803900.05002</v>
      </c>
    </row>
    <row r="4" spans="1:9" x14ac:dyDescent="0.25">
      <c r="A4" s="296" t="s">
        <v>225</v>
      </c>
      <c r="B4" s="304">
        <f>'таблица (всего)'!D4</f>
        <v>5753664633.7600002</v>
      </c>
      <c r="C4" s="304">
        <f>'таблица (всего)'!E4</f>
        <v>5819013830.6599998</v>
      </c>
      <c r="D4" s="304">
        <f>'таблица (всего)'!F4</f>
        <v>5549510761.6500006</v>
      </c>
      <c r="E4" s="304">
        <f>'таблица (всего)'!G4</f>
        <v>5083065454.6999998</v>
      </c>
      <c r="F4" s="304">
        <f>'таблица (всего)'!H4</f>
        <v>5078522290.6999998</v>
      </c>
      <c r="G4" s="304">
        <f>'таблица (всего)'!I4</f>
        <v>5076122314.29</v>
      </c>
      <c r="H4" s="304">
        <f>'таблица (всего)'!J4</f>
        <v>4991679614.29</v>
      </c>
      <c r="I4" s="304">
        <f>'таблица (всего)'!K4</f>
        <v>37351578900.050003</v>
      </c>
    </row>
    <row r="5" spans="1:9" x14ac:dyDescent="0.25">
      <c r="A5" s="297" t="s">
        <v>282</v>
      </c>
      <c r="B5" s="305">
        <f>'таблица (всего)'!D5</f>
        <v>857147889.75999999</v>
      </c>
      <c r="C5" s="305">
        <f>'таблица (всего)'!E5</f>
        <v>636866220.17000008</v>
      </c>
      <c r="D5" s="305">
        <f>'таблица (всего)'!F5</f>
        <v>466832400</v>
      </c>
      <c r="E5" s="305">
        <f>'таблица (всего)'!G5</f>
        <v>91080100</v>
      </c>
      <c r="F5" s="305">
        <f>'таблица (всего)'!H5</f>
        <v>86275300</v>
      </c>
      <c r="G5" s="305">
        <f>'таблица (всего)'!I5</f>
        <v>84442700</v>
      </c>
      <c r="H5" s="305">
        <f>'таблица (всего)'!J5</f>
        <v>0</v>
      </c>
      <c r="I5" s="305">
        <f>'таблица (всего)'!K5</f>
        <v>2222644609.9300003</v>
      </c>
    </row>
    <row r="6" spans="1:9" x14ac:dyDescent="0.25">
      <c r="A6" s="297" t="s">
        <v>283</v>
      </c>
      <c r="B6" s="305">
        <f>'таблица (всего)'!D6</f>
        <v>4891416744</v>
      </c>
      <c r="C6" s="305">
        <f>'таблица (всего)'!E6</f>
        <v>5181547610.4899998</v>
      </c>
      <c r="D6" s="305">
        <f>'таблица (всего)'!F6</f>
        <v>5081978361.6500006</v>
      </c>
      <c r="E6" s="305">
        <f>'таблица (всего)'!G6</f>
        <v>4991985354.6999998</v>
      </c>
      <c r="F6" s="305">
        <f>'таблица (всего)'!H6</f>
        <v>4992246990.6999998</v>
      </c>
      <c r="G6" s="305">
        <f>'таблица (всего)'!I6</f>
        <v>4991679614.29</v>
      </c>
      <c r="H6" s="305">
        <f>'таблица (всего)'!J6</f>
        <v>4991679614.29</v>
      </c>
      <c r="I6" s="305">
        <f>'таблица (всего)'!K6</f>
        <v>35122534290.120003</v>
      </c>
    </row>
    <row r="7" spans="1:9" x14ac:dyDescent="0.25">
      <c r="A7" s="297" t="s">
        <v>281</v>
      </c>
      <c r="B7" s="305">
        <f>'таблица (всего)'!D7</f>
        <v>100000</v>
      </c>
      <c r="C7" s="305">
        <f>'таблица (всего)'!E7</f>
        <v>100000</v>
      </c>
      <c r="D7" s="305">
        <f>'таблица (всего)'!F7</f>
        <v>100000</v>
      </c>
      <c r="E7" s="305">
        <f>'таблица (всего)'!G7</f>
        <v>0</v>
      </c>
      <c r="F7" s="305">
        <f>'таблица (всего)'!H7</f>
        <v>0</v>
      </c>
      <c r="G7" s="305">
        <f>'таблица (всего)'!I7</f>
        <v>0</v>
      </c>
      <c r="H7" s="305">
        <f>'таблица (всего)'!J7</f>
        <v>0</v>
      </c>
      <c r="I7" s="305">
        <f>'таблица (всего)'!K7</f>
        <v>300000</v>
      </c>
    </row>
    <row r="8" spans="1:9" x14ac:dyDescent="0.25">
      <c r="A8" s="297" t="s">
        <v>284</v>
      </c>
      <c r="B8" s="305">
        <f>'таблица (всего)'!D8</f>
        <v>5000000</v>
      </c>
      <c r="C8" s="305">
        <f>'таблица (всего)'!E8</f>
        <v>500000</v>
      </c>
      <c r="D8" s="305">
        <f>'таблица (всего)'!F8</f>
        <v>600000</v>
      </c>
      <c r="E8" s="305">
        <f>'таблица (всего)'!G8</f>
        <v>0</v>
      </c>
      <c r="F8" s="305">
        <f>'таблица (всего)'!H8</f>
        <v>0</v>
      </c>
      <c r="G8" s="305">
        <f>'таблица (всего)'!I8</f>
        <v>0</v>
      </c>
      <c r="H8" s="305">
        <f>'таблица (всего)'!J8</f>
        <v>0</v>
      </c>
      <c r="I8" s="305">
        <f>'таблица (всего)'!K8</f>
        <v>6100000</v>
      </c>
    </row>
    <row r="9" spans="1:9" ht="26.25" thickBot="1" x14ac:dyDescent="0.3">
      <c r="A9" s="298" t="s">
        <v>280</v>
      </c>
      <c r="B9" s="306">
        <f>'таблица (всего)'!D9</f>
        <v>7839427400</v>
      </c>
      <c r="C9" s="306">
        <f>'таблица (всего)'!E9</f>
        <v>8980440100</v>
      </c>
      <c r="D9" s="306">
        <f>'таблица (всего)'!F9</f>
        <v>8686826900</v>
      </c>
      <c r="E9" s="306">
        <f>'таблица (всего)'!G9</f>
        <v>9313583900</v>
      </c>
      <c r="F9" s="306">
        <f>'таблица (всего)'!H9</f>
        <v>10369593900</v>
      </c>
      <c r="G9" s="306">
        <f>'таблица (всего)'!I9</f>
        <v>10909676400</v>
      </c>
      <c r="H9" s="306">
        <f>'таблица (всего)'!J9</f>
        <v>10909676400</v>
      </c>
      <c r="I9" s="306">
        <f>'таблица (всего)'!K9</f>
        <v>67009225000</v>
      </c>
    </row>
    <row r="10" spans="1:9" ht="15.75" thickBot="1" x14ac:dyDescent="0.3">
      <c r="A10" s="295" t="str">
        <f>'таблица (всего)'!C148</f>
        <v xml:space="preserve">«Развитие образования Ивановской области» </v>
      </c>
      <c r="B10" s="303">
        <f>'таблица (всего)'!D148</f>
        <v>68642100</v>
      </c>
      <c r="C10" s="303">
        <f>'таблица (всего)'!E148</f>
        <v>68947840.680000007</v>
      </c>
      <c r="D10" s="303">
        <f>'таблица (всего)'!F148</f>
        <v>67326721.609999999</v>
      </c>
      <c r="E10" s="303">
        <f>'таблица (всего)'!G148</f>
        <v>62797429.359999992</v>
      </c>
      <c r="F10" s="303">
        <f>'таблица (всего)'!H148</f>
        <v>62535793.359999992</v>
      </c>
      <c r="G10" s="303">
        <f>'таблица (всего)'!I148</f>
        <v>63103169.769999996</v>
      </c>
      <c r="H10" s="303">
        <f>'таблица (всего)'!J148</f>
        <v>63103169.769999996</v>
      </c>
      <c r="I10" s="303">
        <f>'таблица (всего)'!K148</f>
        <v>456456224.54999995</v>
      </c>
    </row>
    <row r="11" spans="1:9" x14ac:dyDescent="0.25">
      <c r="A11" s="296" t="s">
        <v>225</v>
      </c>
      <c r="B11" s="304">
        <f>B10</f>
        <v>68642100</v>
      </c>
      <c r="C11" s="304">
        <f t="shared" ref="C11:I11" si="0">C10</f>
        <v>68947840.680000007</v>
      </c>
      <c r="D11" s="304">
        <f t="shared" si="0"/>
        <v>67326721.609999999</v>
      </c>
      <c r="E11" s="304">
        <f t="shared" si="0"/>
        <v>62797429.359999992</v>
      </c>
      <c r="F11" s="304">
        <f t="shared" si="0"/>
        <v>62535793.359999992</v>
      </c>
      <c r="G11" s="304">
        <f t="shared" si="0"/>
        <v>63103169.769999996</v>
      </c>
      <c r="H11" s="304">
        <f t="shared" si="0"/>
        <v>63103169.769999996</v>
      </c>
      <c r="I11" s="304">
        <f t="shared" si="0"/>
        <v>456456224.54999995</v>
      </c>
    </row>
    <row r="12" spans="1:9" x14ac:dyDescent="0.25">
      <c r="A12" s="297" t="s">
        <v>282</v>
      </c>
      <c r="B12" s="305">
        <f>'таблица (всего)'!D156</f>
        <v>0</v>
      </c>
      <c r="C12" s="305">
        <f>'таблица (всего)'!E156</f>
        <v>16000</v>
      </c>
      <c r="D12" s="305">
        <f>'таблица (всего)'!F156</f>
        <v>80000</v>
      </c>
      <c r="E12" s="305">
        <f>'таблица (всего)'!G156</f>
        <v>0</v>
      </c>
      <c r="F12" s="305">
        <f>'таблица (всего)'!H156</f>
        <v>0</v>
      </c>
      <c r="G12" s="305">
        <f>'таблица (всего)'!I156</f>
        <v>0</v>
      </c>
      <c r="H12" s="305">
        <f>'таблица (всего)'!J156</f>
        <v>0</v>
      </c>
      <c r="I12" s="305">
        <f>'таблица (всего)'!K156</f>
        <v>96000</v>
      </c>
    </row>
    <row r="13" spans="1:9" ht="15.75" thickBot="1" x14ac:dyDescent="0.3">
      <c r="A13" s="299" t="s">
        <v>283</v>
      </c>
      <c r="B13" s="307">
        <f>B11-B12</f>
        <v>68642100</v>
      </c>
      <c r="C13" s="307">
        <f t="shared" ref="C13:I13" si="1">C11-C12</f>
        <v>68931840.680000007</v>
      </c>
      <c r="D13" s="307">
        <f t="shared" si="1"/>
        <v>67246721.609999999</v>
      </c>
      <c r="E13" s="307">
        <f t="shared" si="1"/>
        <v>62797429.359999992</v>
      </c>
      <c r="F13" s="307">
        <f t="shared" si="1"/>
        <v>62535793.359999992</v>
      </c>
      <c r="G13" s="307">
        <f t="shared" si="1"/>
        <v>63103169.769999996</v>
      </c>
      <c r="H13" s="307">
        <f t="shared" si="1"/>
        <v>63103169.769999996</v>
      </c>
      <c r="I13" s="307">
        <f t="shared" si="1"/>
        <v>456360224.54999995</v>
      </c>
    </row>
    <row r="14" spans="1:9" ht="15.75" thickBot="1" x14ac:dyDescent="0.3">
      <c r="A14" s="295" t="str">
        <f>'таблица (всего)'!C165</f>
        <v>Социальная поддержка граждан Ивановской области</v>
      </c>
      <c r="B14" s="303">
        <f>'таблица (всего)'!D165</f>
        <v>32892200</v>
      </c>
      <c r="C14" s="303">
        <f>'таблица (всего)'!E165</f>
        <v>32245329.760000002</v>
      </c>
      <c r="D14" s="303">
        <f>'таблица (всего)'!F165</f>
        <v>30100000</v>
      </c>
      <c r="E14" s="303">
        <f>'таблица (всего)'!G165</f>
        <v>28600000</v>
      </c>
      <c r="F14" s="303">
        <f>'таблица (всего)'!H165</f>
        <v>28600000</v>
      </c>
      <c r="G14" s="303">
        <f>'таблица (всего)'!I165</f>
        <v>28600000</v>
      </c>
      <c r="H14" s="303">
        <f>'таблица (всего)'!J165</f>
        <v>28600000</v>
      </c>
      <c r="I14" s="303">
        <f>'таблица (всего)'!K165</f>
        <v>209637529.75999999</v>
      </c>
    </row>
    <row r="15" spans="1:9" x14ac:dyDescent="0.25">
      <c r="A15" s="296" t="s">
        <v>225</v>
      </c>
      <c r="B15" s="304">
        <f>B14</f>
        <v>32892200</v>
      </c>
      <c r="C15" s="304">
        <f t="shared" ref="C15:I15" si="2">C14</f>
        <v>32245329.760000002</v>
      </c>
      <c r="D15" s="304">
        <f t="shared" si="2"/>
        <v>30100000</v>
      </c>
      <c r="E15" s="304">
        <f t="shared" si="2"/>
        <v>28600000</v>
      </c>
      <c r="F15" s="304">
        <f t="shared" si="2"/>
        <v>28600000</v>
      </c>
      <c r="G15" s="304">
        <f t="shared" si="2"/>
        <v>28600000</v>
      </c>
      <c r="H15" s="304">
        <f t="shared" si="2"/>
        <v>28600000</v>
      </c>
      <c r="I15" s="304">
        <f t="shared" si="2"/>
        <v>209637529.75999999</v>
      </c>
    </row>
    <row r="16" spans="1:9" x14ac:dyDescent="0.25">
      <c r="A16" s="297" t="s">
        <v>282</v>
      </c>
      <c r="B16" s="305">
        <f>0</f>
        <v>0</v>
      </c>
      <c r="C16" s="305">
        <f>0</f>
        <v>0</v>
      </c>
      <c r="D16" s="305">
        <f>0</f>
        <v>0</v>
      </c>
      <c r="E16" s="305">
        <f>0</f>
        <v>0</v>
      </c>
      <c r="F16" s="305">
        <f>0</f>
        <v>0</v>
      </c>
      <c r="G16" s="305">
        <f>0</f>
        <v>0</v>
      </c>
      <c r="H16" s="305">
        <f>0</f>
        <v>0</v>
      </c>
      <c r="I16" s="305">
        <f>0</f>
        <v>0</v>
      </c>
    </row>
    <row r="17" spans="1:9" ht="15.75" thickBot="1" x14ac:dyDescent="0.3">
      <c r="A17" s="299" t="s">
        <v>283</v>
      </c>
      <c r="B17" s="307">
        <f>B15-B16</f>
        <v>32892200</v>
      </c>
      <c r="C17" s="307">
        <f t="shared" ref="C17:I17" si="3">C15-C16</f>
        <v>32245329.760000002</v>
      </c>
      <c r="D17" s="307">
        <f t="shared" si="3"/>
        <v>30100000</v>
      </c>
      <c r="E17" s="307">
        <f t="shared" si="3"/>
        <v>28600000</v>
      </c>
      <c r="F17" s="307">
        <f t="shared" si="3"/>
        <v>28600000</v>
      </c>
      <c r="G17" s="307">
        <f t="shared" si="3"/>
        <v>28600000</v>
      </c>
      <c r="H17" s="307">
        <f t="shared" si="3"/>
        <v>28600000</v>
      </c>
      <c r="I17" s="307">
        <f t="shared" si="3"/>
        <v>209637529.75999999</v>
      </c>
    </row>
    <row r="18" spans="1:9" ht="30" customHeight="1" thickBot="1" x14ac:dyDescent="0.3">
      <c r="A18" s="295" t="str">
        <f>'таблица (всего)'!C173</f>
        <v>Обеспечение безопасности граждан и профилактика правонарушений в Ивановской области</v>
      </c>
      <c r="B18" s="303">
        <f>'таблица (всего)'!D173</f>
        <v>564700</v>
      </c>
      <c r="C18" s="303">
        <f>'таблица (всего)'!E173</f>
        <v>503965</v>
      </c>
      <c r="D18" s="303">
        <f>'таблица (всего)'!F173</f>
        <v>503965</v>
      </c>
      <c r="E18" s="303">
        <f>'таблица (всего)'!G173</f>
        <v>503965</v>
      </c>
      <c r="F18" s="303">
        <f>'таблица (всего)'!H173</f>
        <v>503965</v>
      </c>
      <c r="G18" s="303">
        <f>'таблица (всего)'!I173</f>
        <v>503965</v>
      </c>
      <c r="H18" s="303">
        <f>'таблица (всего)'!J173</f>
        <v>503965</v>
      </c>
      <c r="I18" s="303">
        <f>'таблица (всего)'!K173</f>
        <v>3588490</v>
      </c>
    </row>
    <row r="19" spans="1:9" x14ac:dyDescent="0.25">
      <c r="A19" s="296" t="s">
        <v>225</v>
      </c>
      <c r="B19" s="304">
        <f>B18</f>
        <v>564700</v>
      </c>
      <c r="C19" s="304">
        <f t="shared" ref="C19:I19" si="4">C18</f>
        <v>503965</v>
      </c>
      <c r="D19" s="304">
        <f t="shared" si="4"/>
        <v>503965</v>
      </c>
      <c r="E19" s="304">
        <f t="shared" si="4"/>
        <v>503965</v>
      </c>
      <c r="F19" s="304">
        <f t="shared" si="4"/>
        <v>503965</v>
      </c>
      <c r="G19" s="304">
        <f t="shared" si="4"/>
        <v>503965</v>
      </c>
      <c r="H19" s="304">
        <f t="shared" si="4"/>
        <v>503965</v>
      </c>
      <c r="I19" s="304">
        <f t="shared" si="4"/>
        <v>3588490</v>
      </c>
    </row>
    <row r="20" spans="1:9" x14ac:dyDescent="0.25">
      <c r="A20" s="297" t="s">
        <v>282</v>
      </c>
      <c r="B20" s="305">
        <f>0</f>
        <v>0</v>
      </c>
      <c r="C20" s="305">
        <f>0</f>
        <v>0</v>
      </c>
      <c r="D20" s="305">
        <f>0</f>
        <v>0</v>
      </c>
      <c r="E20" s="305">
        <f>0</f>
        <v>0</v>
      </c>
      <c r="F20" s="305">
        <f>0</f>
        <v>0</v>
      </c>
      <c r="G20" s="305">
        <f>0</f>
        <v>0</v>
      </c>
      <c r="H20" s="305">
        <f>0</f>
        <v>0</v>
      </c>
      <c r="I20" s="305">
        <f>0</f>
        <v>0</v>
      </c>
    </row>
    <row r="21" spans="1:9" ht="15.75" thickBot="1" x14ac:dyDescent="0.3">
      <c r="A21" s="299" t="s">
        <v>283</v>
      </c>
      <c r="B21" s="307">
        <f>B19-B20</f>
        <v>564700</v>
      </c>
      <c r="C21" s="307">
        <f t="shared" ref="C21:I21" si="5">C19-C20</f>
        <v>503965</v>
      </c>
      <c r="D21" s="307">
        <f t="shared" si="5"/>
        <v>503965</v>
      </c>
      <c r="E21" s="307">
        <f t="shared" si="5"/>
        <v>503965</v>
      </c>
      <c r="F21" s="307">
        <f t="shared" si="5"/>
        <v>503965</v>
      </c>
      <c r="G21" s="307">
        <f t="shared" si="5"/>
        <v>503965</v>
      </c>
      <c r="H21" s="307">
        <f t="shared" si="5"/>
        <v>503965</v>
      </c>
      <c r="I21" s="307">
        <f t="shared" si="5"/>
        <v>3588490</v>
      </c>
    </row>
    <row r="22" spans="1:9" ht="32.25" customHeight="1" thickBot="1" x14ac:dyDescent="0.3">
      <c r="A22" s="295" t="str">
        <f>'таблица (всего)'!C177</f>
        <v>Совершенствование институтов государственного управления и местного самоуправления Ивановской области</v>
      </c>
      <c r="B22" s="303">
        <f>'таблица (всего)'!D177</f>
        <v>45356400</v>
      </c>
      <c r="C22" s="303">
        <f>'таблица (всего)'!E177</f>
        <v>38825812.460000001</v>
      </c>
      <c r="D22" s="303">
        <f>'таблица (всего)'!F177</f>
        <v>37377585.719999999</v>
      </c>
      <c r="E22" s="303">
        <f>'таблица (всего)'!G177</f>
        <v>34939085.729999997</v>
      </c>
      <c r="F22" s="303">
        <f>'таблица (всего)'!H177</f>
        <v>34939085.729999997</v>
      </c>
      <c r="G22" s="303">
        <f>'таблица (всего)'!I177</f>
        <v>34939085.729999997</v>
      </c>
      <c r="H22" s="303">
        <f>'таблица (всего)'!J177</f>
        <v>34939085.729999997</v>
      </c>
      <c r="I22" s="303">
        <f>'таблица (всего)'!K177</f>
        <v>261316141.09999996</v>
      </c>
    </row>
    <row r="23" spans="1:9" x14ac:dyDescent="0.25">
      <c r="A23" s="296" t="s">
        <v>225</v>
      </c>
      <c r="B23" s="304">
        <f>B22</f>
        <v>45356400</v>
      </c>
      <c r="C23" s="304">
        <f t="shared" ref="C23:I23" si="6">C22</f>
        <v>38825812.460000001</v>
      </c>
      <c r="D23" s="304">
        <f t="shared" si="6"/>
        <v>37377585.719999999</v>
      </c>
      <c r="E23" s="304">
        <f t="shared" si="6"/>
        <v>34939085.729999997</v>
      </c>
      <c r="F23" s="304">
        <f t="shared" si="6"/>
        <v>34939085.729999997</v>
      </c>
      <c r="G23" s="304">
        <f t="shared" si="6"/>
        <v>34939085.729999997</v>
      </c>
      <c r="H23" s="304">
        <f t="shared" si="6"/>
        <v>34939085.729999997</v>
      </c>
      <c r="I23" s="304">
        <f t="shared" si="6"/>
        <v>261316141.09999996</v>
      </c>
    </row>
    <row r="24" spans="1:9" x14ac:dyDescent="0.25">
      <c r="A24" s="297" t="s">
        <v>282</v>
      </c>
      <c r="B24" s="305">
        <f>0</f>
        <v>0</v>
      </c>
      <c r="C24" s="305">
        <f>0</f>
        <v>0</v>
      </c>
      <c r="D24" s="305">
        <f>0</f>
        <v>0</v>
      </c>
      <c r="E24" s="305">
        <f>0</f>
        <v>0</v>
      </c>
      <c r="F24" s="305">
        <f>0</f>
        <v>0</v>
      </c>
      <c r="G24" s="305">
        <f>0</f>
        <v>0</v>
      </c>
      <c r="H24" s="305">
        <f>0</f>
        <v>0</v>
      </c>
      <c r="I24" s="305">
        <f>0</f>
        <v>0</v>
      </c>
    </row>
    <row r="25" spans="1:9" ht="15.75" thickBot="1" x14ac:dyDescent="0.3">
      <c r="A25" s="299" t="s">
        <v>283</v>
      </c>
      <c r="B25" s="307">
        <f>B23-B24</f>
        <v>45356400</v>
      </c>
      <c r="C25" s="307">
        <f t="shared" ref="C25:I25" si="7">C23-C24</f>
        <v>38825812.460000001</v>
      </c>
      <c r="D25" s="307">
        <f t="shared" si="7"/>
        <v>37377585.719999999</v>
      </c>
      <c r="E25" s="307">
        <f t="shared" si="7"/>
        <v>34939085.729999997</v>
      </c>
      <c r="F25" s="307">
        <f t="shared" si="7"/>
        <v>34939085.729999997</v>
      </c>
      <c r="G25" s="307">
        <f t="shared" si="7"/>
        <v>34939085.729999997</v>
      </c>
      <c r="H25" s="307">
        <f t="shared" si="7"/>
        <v>34939085.729999997</v>
      </c>
      <c r="I25" s="307">
        <f t="shared" si="7"/>
        <v>261316141.09999996</v>
      </c>
    </row>
    <row r="26" spans="1:9" ht="26.25" thickBot="1" x14ac:dyDescent="0.3">
      <c r="A26" s="295" t="str">
        <f>'таблица (всего)'!C182</f>
        <v>Долгосрочная сбалансированность и устойчисвость бюджетной системы Ивановской области</v>
      </c>
      <c r="B26" s="303">
        <f>'таблица (всего)'!D182</f>
        <v>350000</v>
      </c>
      <c r="C26" s="303">
        <f>'таблица (всего)'!E182</f>
        <v>0</v>
      </c>
      <c r="D26" s="303">
        <f>'таблица (всего)'!F182</f>
        <v>0</v>
      </c>
      <c r="E26" s="303">
        <f>'таблица (всего)'!G182</f>
        <v>0</v>
      </c>
      <c r="F26" s="303">
        <f>'таблица (всего)'!H182</f>
        <v>0</v>
      </c>
      <c r="G26" s="303">
        <f>'таблица (всего)'!I182</f>
        <v>0</v>
      </c>
      <c r="H26" s="303">
        <f>'таблица (всего)'!J182</f>
        <v>0</v>
      </c>
      <c r="I26" s="303">
        <f>'таблица (всего)'!K182</f>
        <v>350000</v>
      </c>
    </row>
    <row r="27" spans="1:9" x14ac:dyDescent="0.25">
      <c r="A27" s="296" t="s">
        <v>225</v>
      </c>
      <c r="B27" s="304">
        <f>B26</f>
        <v>350000</v>
      </c>
      <c r="C27" s="304">
        <f t="shared" ref="C27:I27" si="8">C26</f>
        <v>0</v>
      </c>
      <c r="D27" s="304">
        <f t="shared" si="8"/>
        <v>0</v>
      </c>
      <c r="E27" s="304">
        <f t="shared" si="8"/>
        <v>0</v>
      </c>
      <c r="F27" s="304">
        <f t="shared" si="8"/>
        <v>0</v>
      </c>
      <c r="G27" s="304">
        <f t="shared" si="8"/>
        <v>0</v>
      </c>
      <c r="H27" s="304">
        <f t="shared" si="8"/>
        <v>0</v>
      </c>
      <c r="I27" s="304">
        <f t="shared" si="8"/>
        <v>350000</v>
      </c>
    </row>
    <row r="28" spans="1:9" x14ac:dyDescent="0.25">
      <c r="A28" s="297" t="s">
        <v>282</v>
      </c>
      <c r="B28" s="305">
        <f>0</f>
        <v>0</v>
      </c>
      <c r="C28" s="305">
        <f>0</f>
        <v>0</v>
      </c>
      <c r="D28" s="305">
        <f>0</f>
        <v>0</v>
      </c>
      <c r="E28" s="305">
        <f>0</f>
        <v>0</v>
      </c>
      <c r="F28" s="305">
        <f>0</f>
        <v>0</v>
      </c>
      <c r="G28" s="305">
        <f>0</f>
        <v>0</v>
      </c>
      <c r="H28" s="305">
        <f>0</f>
        <v>0</v>
      </c>
      <c r="I28" s="305">
        <f>0</f>
        <v>0</v>
      </c>
    </row>
    <row r="29" spans="1:9" ht="15.75" thickBot="1" x14ac:dyDescent="0.3">
      <c r="A29" s="300" t="s">
        <v>283</v>
      </c>
      <c r="B29" s="308">
        <f>B27-B28</f>
        <v>350000</v>
      </c>
      <c r="C29" s="308">
        <f t="shared" ref="C29:I29" si="9">C27-C28</f>
        <v>0</v>
      </c>
      <c r="D29" s="308">
        <f t="shared" si="9"/>
        <v>0</v>
      </c>
      <c r="E29" s="308">
        <f t="shared" si="9"/>
        <v>0</v>
      </c>
      <c r="F29" s="308">
        <f t="shared" si="9"/>
        <v>0</v>
      </c>
      <c r="G29" s="308">
        <f t="shared" si="9"/>
        <v>0</v>
      </c>
      <c r="H29" s="308">
        <f t="shared" si="9"/>
        <v>0</v>
      </c>
      <c r="I29" s="308">
        <f t="shared" si="9"/>
        <v>350000</v>
      </c>
    </row>
    <row r="31" spans="1:9" x14ac:dyDescent="0.25">
      <c r="A31" s="358" t="s">
        <v>322</v>
      </c>
      <c r="B31" s="173">
        <f>B32+B33+B35+B36</f>
        <v>5921517433.7600002</v>
      </c>
      <c r="C31" s="173">
        <f t="shared" ref="C31:H31" si="10">C32+C33+C35+C36</f>
        <v>5976657477.8600006</v>
      </c>
      <c r="D31" s="173">
        <f t="shared" si="10"/>
        <v>5701958633.9800005</v>
      </c>
      <c r="E31" s="173">
        <f t="shared" si="10"/>
        <v>5209905934.789999</v>
      </c>
      <c r="F31" s="173">
        <f t="shared" si="10"/>
        <v>5205101134.789999</v>
      </c>
      <c r="G31" s="173">
        <f t="shared" si="10"/>
        <v>5203268534.79</v>
      </c>
      <c r="H31" s="173">
        <f t="shared" si="10"/>
        <v>5118825834.79</v>
      </c>
      <c r="I31" s="292"/>
    </row>
    <row r="32" spans="1:9" x14ac:dyDescent="0.25">
      <c r="A32" s="72" t="s">
        <v>161</v>
      </c>
      <c r="B32" s="5">
        <f>B5+B8+B12+B16+B20+B24+B28</f>
        <v>862147889.75999999</v>
      </c>
      <c r="C32" s="5">
        <f t="shared" ref="C32:H32" si="11">C5+C8+C12+C16+C20+C24+C28</f>
        <v>637382220.17000008</v>
      </c>
      <c r="D32" s="5">
        <f t="shared" si="11"/>
        <v>467512400</v>
      </c>
      <c r="E32" s="5">
        <f t="shared" si="11"/>
        <v>91080100</v>
      </c>
      <c r="F32" s="5">
        <f t="shared" si="11"/>
        <v>86275300</v>
      </c>
      <c r="G32" s="5">
        <f t="shared" si="11"/>
        <v>84442700</v>
      </c>
      <c r="H32" s="5">
        <f t="shared" si="11"/>
        <v>0</v>
      </c>
      <c r="I32" s="292"/>
    </row>
    <row r="33" spans="1:9" ht="25.5" x14ac:dyDescent="0.25">
      <c r="A33" s="72" t="s">
        <v>332</v>
      </c>
      <c r="B33" s="5">
        <f>'таблица (всего)'!D193</f>
        <v>5059000</v>
      </c>
      <c r="C33" s="5">
        <f>'таблица (всего)'!E193</f>
        <v>7750400</v>
      </c>
      <c r="D33" s="5">
        <f>'таблица (всего)'!F193</f>
        <v>839600</v>
      </c>
      <c r="E33" s="5">
        <f>'таблица (всего)'!G193</f>
        <v>0</v>
      </c>
      <c r="F33" s="5">
        <f>'таблица (всего)'!H193</f>
        <v>0</v>
      </c>
      <c r="G33" s="5">
        <f>'таблица (всего)'!I193</f>
        <v>0</v>
      </c>
      <c r="H33" s="5">
        <f>'таблица (всего)'!J193</f>
        <v>0</v>
      </c>
      <c r="I33" s="292"/>
    </row>
    <row r="34" spans="1:9" x14ac:dyDescent="0.25">
      <c r="A34" s="358" t="s">
        <v>442</v>
      </c>
      <c r="B34" s="173">
        <f>B32+B33</f>
        <v>867206889.75999999</v>
      </c>
      <c r="C34" s="173">
        <f t="shared" ref="C34:H34" si="12">C32+C33</f>
        <v>645132620.17000008</v>
      </c>
      <c r="D34" s="173">
        <f t="shared" si="12"/>
        <v>468352000</v>
      </c>
      <c r="E34" s="173">
        <f t="shared" si="12"/>
        <v>91080100</v>
      </c>
      <c r="F34" s="173">
        <f t="shared" si="12"/>
        <v>86275300</v>
      </c>
      <c r="G34" s="173">
        <f t="shared" si="12"/>
        <v>84442700</v>
      </c>
      <c r="H34" s="173">
        <f t="shared" si="12"/>
        <v>0</v>
      </c>
      <c r="I34" s="292"/>
    </row>
    <row r="35" spans="1:9" x14ac:dyDescent="0.25">
      <c r="A35" s="72" t="s">
        <v>162</v>
      </c>
      <c r="B35" s="5">
        <f>B6+B7+B13+B17+B21+B25+B29</f>
        <v>5039322144</v>
      </c>
      <c r="C35" s="5">
        <f t="shared" ref="C35:H35" si="13">C6+C7+C13+C17+C21+C25+C29</f>
        <v>5322154558.3900003</v>
      </c>
      <c r="D35" s="5">
        <f t="shared" si="13"/>
        <v>5217306633.9800005</v>
      </c>
      <c r="E35" s="5">
        <f t="shared" si="13"/>
        <v>5118825834.789999</v>
      </c>
      <c r="F35" s="5">
        <f t="shared" si="13"/>
        <v>5118825834.789999</v>
      </c>
      <c r="G35" s="5">
        <f t="shared" si="13"/>
        <v>5118825834.79</v>
      </c>
      <c r="H35" s="5">
        <f t="shared" si="13"/>
        <v>5118825834.79</v>
      </c>
      <c r="I35" s="292"/>
    </row>
    <row r="36" spans="1:9" x14ac:dyDescent="0.25">
      <c r="A36" s="72" t="s">
        <v>323</v>
      </c>
      <c r="B36" s="5">
        <f>'таблица (всего)'!D188+'таблица (всего)'!D192+'таблица (всего)'!D194</f>
        <v>14988400</v>
      </c>
      <c r="C36" s="5">
        <f>'таблица (всего)'!E188+'таблица (всего)'!E192+'таблица (всего)'!E194</f>
        <v>9370299.3000000007</v>
      </c>
      <c r="D36" s="5">
        <f>'таблица (всего)'!F188+'таблица (всего)'!F192+'таблица (всего)'!F194</f>
        <v>16300000</v>
      </c>
      <c r="E36" s="5">
        <f>'таблица (всего)'!G188+'таблица (всего)'!G192+'таблица (всего)'!G194</f>
        <v>0</v>
      </c>
      <c r="F36" s="5">
        <f>'таблица (всего)'!H188+'таблица (всего)'!H192+'таблица (всего)'!H194</f>
        <v>0</v>
      </c>
      <c r="G36" s="5">
        <f>'таблица (всего)'!I188+'таблица (всего)'!I192+'таблица (всего)'!I194</f>
        <v>0</v>
      </c>
      <c r="H36" s="5">
        <f>'таблица (всего)'!J188+'таблица (всего)'!J192+'таблица (всего)'!J194</f>
        <v>0</v>
      </c>
      <c r="I36" s="292"/>
    </row>
    <row r="37" spans="1:9" x14ac:dyDescent="0.25">
      <c r="A37" s="358" t="s">
        <v>441</v>
      </c>
      <c r="B37" s="173">
        <f>B35+B36</f>
        <v>5054310544</v>
      </c>
      <c r="C37" s="173">
        <f t="shared" ref="C37:H37" si="14">C35+C36</f>
        <v>5331524857.6900005</v>
      </c>
      <c r="D37" s="173">
        <f t="shared" si="14"/>
        <v>5233606633.9800005</v>
      </c>
      <c r="E37" s="173">
        <f t="shared" si="14"/>
        <v>5118825834.789999</v>
      </c>
      <c r="F37" s="173">
        <f t="shared" si="14"/>
        <v>5118825834.789999</v>
      </c>
      <c r="G37" s="173">
        <f t="shared" si="14"/>
        <v>5118825834.79</v>
      </c>
      <c r="H37" s="173">
        <f t="shared" si="14"/>
        <v>5118825834.79</v>
      </c>
      <c r="I37" s="292"/>
    </row>
    <row r="38" spans="1:9" x14ac:dyDescent="0.25">
      <c r="A38" s="72"/>
      <c r="B38" s="292"/>
      <c r="C38" s="292"/>
      <c r="D38" s="292"/>
      <c r="E38" s="292"/>
      <c r="F38" s="292"/>
      <c r="G38" s="292"/>
      <c r="H38" s="292"/>
      <c r="I38" s="292"/>
    </row>
    <row r="39" spans="1:9" x14ac:dyDescent="0.25">
      <c r="A39" s="358" t="s">
        <v>321</v>
      </c>
      <c r="B39" s="173">
        <f t="shared" ref="B39:H39" si="15">B9</f>
        <v>7839427400</v>
      </c>
      <c r="C39" s="173">
        <f t="shared" si="15"/>
        <v>8980440100</v>
      </c>
      <c r="D39" s="173">
        <f t="shared" si="15"/>
        <v>8686826900</v>
      </c>
      <c r="E39" s="173">
        <f t="shared" si="15"/>
        <v>9313583900</v>
      </c>
      <c r="F39" s="173">
        <f t="shared" si="15"/>
        <v>10369593900</v>
      </c>
      <c r="G39" s="173">
        <f t="shared" si="15"/>
        <v>10909676400</v>
      </c>
      <c r="H39" s="173">
        <f t="shared" si="15"/>
        <v>10909676400</v>
      </c>
      <c r="I39" s="292"/>
    </row>
    <row r="40" spans="1:9" x14ac:dyDescent="0.25">
      <c r="A40" s="72" t="s">
        <v>319</v>
      </c>
      <c r="B40" s="5">
        <f>'таблица (всего)'!D120</f>
        <v>2961964300</v>
      </c>
      <c r="C40" s="5">
        <f>'таблица (всего)'!E120</f>
        <v>3997725000</v>
      </c>
      <c r="D40" s="5">
        <f>'таблица (всего)'!F120</f>
        <v>3894508000</v>
      </c>
      <c r="E40" s="5">
        <f>'таблица (всего)'!G121</f>
        <v>3893885500</v>
      </c>
      <c r="F40" s="5">
        <f>'таблица (всего)'!H121</f>
        <v>3893885500</v>
      </c>
      <c r="G40" s="5">
        <f>'таблица (всего)'!I121</f>
        <v>3893885500</v>
      </c>
      <c r="H40" s="5">
        <f>'таблица (всего)'!J121</f>
        <v>3893885500</v>
      </c>
      <c r="I40" s="292"/>
    </row>
    <row r="41" spans="1:9" ht="25.5" x14ac:dyDescent="0.25">
      <c r="A41" s="72" t="s">
        <v>320</v>
      </c>
      <c r="B41" s="5">
        <f>B39-B40</f>
        <v>4877463100</v>
      </c>
      <c r="C41" s="5">
        <f t="shared" ref="C41:H41" si="16">C39-C40</f>
        <v>4982715100</v>
      </c>
      <c r="D41" s="5">
        <f t="shared" si="16"/>
        <v>4792318900</v>
      </c>
      <c r="E41" s="5">
        <f t="shared" si="16"/>
        <v>5419698400</v>
      </c>
      <c r="F41" s="5">
        <f t="shared" si="16"/>
        <v>6475708400</v>
      </c>
      <c r="G41" s="5">
        <f t="shared" si="16"/>
        <v>7015790900</v>
      </c>
      <c r="H41" s="5">
        <f t="shared" si="16"/>
        <v>7015790900</v>
      </c>
      <c r="I41" s="292"/>
    </row>
    <row r="42" spans="1:9" x14ac:dyDescent="0.25">
      <c r="A42" s="72" t="s">
        <v>329</v>
      </c>
      <c r="B42" s="6">
        <f>B43+B44+B45+B46+B47+B48</f>
        <v>10778933133.76</v>
      </c>
      <c r="C42" s="6">
        <f t="shared" ref="C42:H42" si="17">C43+C44+C45+C46+C47+C48</f>
        <v>10942251878.559999</v>
      </c>
      <c r="D42" s="6">
        <f t="shared" si="17"/>
        <v>10477137933.980001</v>
      </c>
      <c r="E42" s="6">
        <f t="shared" si="17"/>
        <v>10629604334.790001</v>
      </c>
      <c r="F42" s="6">
        <f t="shared" si="17"/>
        <v>11680809534.790001</v>
      </c>
      <c r="G42" s="6">
        <f t="shared" si="17"/>
        <v>12219059434.790001</v>
      </c>
      <c r="H42" s="6">
        <f t="shared" si="17"/>
        <v>12134616734.790001</v>
      </c>
      <c r="I42" s="292"/>
    </row>
    <row r="43" spans="1:9" x14ac:dyDescent="0.25">
      <c r="A43" s="359" t="s">
        <v>443</v>
      </c>
      <c r="B43" s="360">
        <f t="shared" ref="B43:H43" si="18">B3-B40</f>
        <v>10631127733.76</v>
      </c>
      <c r="C43" s="360">
        <f t="shared" si="18"/>
        <v>10801728930.66</v>
      </c>
      <c r="D43" s="360">
        <f t="shared" si="18"/>
        <v>10341829661.650002</v>
      </c>
      <c r="E43" s="360">
        <f t="shared" si="18"/>
        <v>10502763854.700001</v>
      </c>
      <c r="F43" s="360">
        <f t="shared" si="18"/>
        <v>11554230690.700001</v>
      </c>
      <c r="G43" s="360">
        <f t="shared" si="18"/>
        <v>12091913214.290001</v>
      </c>
      <c r="H43" s="360">
        <f t="shared" si="18"/>
        <v>12007470514.290001</v>
      </c>
      <c r="I43" s="292"/>
    </row>
    <row r="44" spans="1:9" x14ac:dyDescent="0.25">
      <c r="A44" s="293" t="s">
        <v>324</v>
      </c>
      <c r="B44" s="5">
        <f>B10</f>
        <v>68642100</v>
      </c>
      <c r="C44" s="5">
        <f t="shared" ref="C44:H44" si="19">C10</f>
        <v>68947840.680000007</v>
      </c>
      <c r="D44" s="5">
        <f t="shared" si="19"/>
        <v>67326721.609999999</v>
      </c>
      <c r="E44" s="5">
        <f t="shared" si="19"/>
        <v>62797429.359999992</v>
      </c>
      <c r="F44" s="5">
        <f t="shared" si="19"/>
        <v>62535793.359999992</v>
      </c>
      <c r="G44" s="5">
        <f t="shared" si="19"/>
        <v>63103169.769999996</v>
      </c>
      <c r="H44" s="5">
        <f t="shared" si="19"/>
        <v>63103169.769999996</v>
      </c>
      <c r="I44" s="292"/>
    </row>
    <row r="45" spans="1:9" x14ac:dyDescent="0.25">
      <c r="A45" s="293" t="s">
        <v>325</v>
      </c>
      <c r="B45" s="5">
        <f>B14</f>
        <v>32892200</v>
      </c>
      <c r="C45" s="5">
        <f t="shared" ref="C45:H45" si="20">C14</f>
        <v>32245329.760000002</v>
      </c>
      <c r="D45" s="5">
        <f t="shared" si="20"/>
        <v>30100000</v>
      </c>
      <c r="E45" s="5">
        <f t="shared" si="20"/>
        <v>28600000</v>
      </c>
      <c r="F45" s="5">
        <f t="shared" si="20"/>
        <v>28600000</v>
      </c>
      <c r="G45" s="5">
        <f t="shared" si="20"/>
        <v>28600000</v>
      </c>
      <c r="H45" s="5">
        <f t="shared" si="20"/>
        <v>28600000</v>
      </c>
      <c r="I45" s="292"/>
    </row>
    <row r="46" spans="1:9" x14ac:dyDescent="0.25">
      <c r="A46" s="293" t="s">
        <v>326</v>
      </c>
      <c r="B46" s="5">
        <f>B18</f>
        <v>564700</v>
      </c>
      <c r="C46" s="5">
        <f t="shared" ref="C46:H46" si="21">C18</f>
        <v>503965</v>
      </c>
      <c r="D46" s="5">
        <f t="shared" si="21"/>
        <v>503965</v>
      </c>
      <c r="E46" s="5">
        <f t="shared" si="21"/>
        <v>503965</v>
      </c>
      <c r="F46" s="5">
        <f t="shared" si="21"/>
        <v>503965</v>
      </c>
      <c r="G46" s="5">
        <f t="shared" si="21"/>
        <v>503965</v>
      </c>
      <c r="H46" s="5">
        <f t="shared" si="21"/>
        <v>503965</v>
      </c>
      <c r="I46" s="292"/>
    </row>
    <row r="47" spans="1:9" x14ac:dyDescent="0.25">
      <c r="A47" s="293" t="s">
        <v>327</v>
      </c>
      <c r="B47" s="5">
        <f>B22</f>
        <v>45356400</v>
      </c>
      <c r="C47" s="5">
        <f t="shared" ref="C47:H47" si="22">C22</f>
        <v>38825812.460000001</v>
      </c>
      <c r="D47" s="5">
        <f t="shared" si="22"/>
        <v>37377585.719999999</v>
      </c>
      <c r="E47" s="5">
        <f t="shared" si="22"/>
        <v>34939085.729999997</v>
      </c>
      <c r="F47" s="5">
        <f t="shared" si="22"/>
        <v>34939085.729999997</v>
      </c>
      <c r="G47" s="5">
        <f t="shared" si="22"/>
        <v>34939085.729999997</v>
      </c>
      <c r="H47" s="5">
        <f t="shared" si="22"/>
        <v>34939085.729999997</v>
      </c>
      <c r="I47" s="292"/>
    </row>
    <row r="48" spans="1:9" x14ac:dyDescent="0.25">
      <c r="A48" s="293" t="s">
        <v>328</v>
      </c>
      <c r="B48" s="5">
        <f>B26</f>
        <v>350000</v>
      </c>
      <c r="C48" s="5">
        <f t="shared" ref="C48:H48" si="23">C26</f>
        <v>0</v>
      </c>
      <c r="D48" s="5">
        <f t="shared" si="23"/>
        <v>0</v>
      </c>
      <c r="E48" s="5">
        <f t="shared" si="23"/>
        <v>0</v>
      </c>
      <c r="F48" s="5">
        <f t="shared" si="23"/>
        <v>0</v>
      </c>
      <c r="G48" s="5">
        <f t="shared" si="23"/>
        <v>0</v>
      </c>
      <c r="H48" s="5">
        <f t="shared" si="23"/>
        <v>0</v>
      </c>
      <c r="I48" s="292"/>
    </row>
    <row r="49" spans="1:9" x14ac:dyDescent="0.25">
      <c r="A49" s="72"/>
      <c r="B49" s="292"/>
      <c r="C49" s="292"/>
      <c r="D49" s="292"/>
      <c r="E49" s="292"/>
      <c r="F49" s="292"/>
      <c r="G49" s="292"/>
      <c r="H49" s="292"/>
      <c r="I49" s="292"/>
    </row>
    <row r="50" spans="1:9" x14ac:dyDescent="0.25">
      <c r="A50" s="72"/>
      <c r="B50" s="292"/>
      <c r="C50" s="5"/>
      <c r="D50" s="292"/>
      <c r="E50" s="292"/>
      <c r="F50" s="292"/>
      <c r="G50" s="292"/>
      <c r="H50" s="292"/>
      <c r="I50" s="292"/>
    </row>
    <row r="51" spans="1:9" x14ac:dyDescent="0.25">
      <c r="A51" s="70"/>
      <c r="B51" s="292"/>
      <c r="C51" s="5"/>
      <c r="D51" s="292"/>
      <c r="E51" s="292"/>
      <c r="F51" s="292"/>
      <c r="G51" s="292"/>
      <c r="H51" s="292"/>
      <c r="I51" s="292"/>
    </row>
    <row r="52" spans="1:9" x14ac:dyDescent="0.25">
      <c r="A52" s="70"/>
      <c r="B52" s="292"/>
      <c r="C52" s="292"/>
      <c r="D52" s="292"/>
      <c r="E52" s="292"/>
      <c r="F52" s="292"/>
      <c r="G52" s="292"/>
      <c r="H52" s="292"/>
      <c r="I52" s="292"/>
    </row>
    <row r="53" spans="1:9" x14ac:dyDescent="0.25">
      <c r="A53" s="70"/>
      <c r="B53" s="292"/>
      <c r="C53" s="292"/>
      <c r="D53" s="292"/>
      <c r="E53" s="292"/>
      <c r="F53" s="292"/>
      <c r="G53" s="292"/>
      <c r="H53" s="292"/>
      <c r="I53" s="292"/>
    </row>
    <row r="54" spans="1:9" x14ac:dyDescent="0.25">
      <c r="B54" s="292"/>
      <c r="C54" s="292"/>
      <c r="D54" s="292"/>
      <c r="E54" s="292"/>
      <c r="F54" s="292"/>
      <c r="G54" s="292"/>
      <c r="H54" s="292"/>
      <c r="I54" s="292"/>
    </row>
    <row r="55" spans="1:9" x14ac:dyDescent="0.25">
      <c r="B55" s="292"/>
      <c r="C55" s="292"/>
      <c r="D55" s="292"/>
      <c r="E55" s="292"/>
      <c r="F55" s="292"/>
      <c r="G55" s="292"/>
      <c r="H55" s="292"/>
      <c r="I55" s="292"/>
    </row>
    <row r="56" spans="1:9" x14ac:dyDescent="0.25">
      <c r="B56" s="292"/>
      <c r="C56" s="292"/>
      <c r="D56" s="292"/>
      <c r="E56" s="292"/>
      <c r="F56" s="292"/>
      <c r="G56" s="292"/>
      <c r="H56" s="292"/>
      <c r="I56" s="292"/>
    </row>
    <row r="57" spans="1:9" x14ac:dyDescent="0.25">
      <c r="B57" s="284"/>
      <c r="C57" s="284"/>
      <c r="D57" s="284"/>
      <c r="E57" s="284"/>
      <c r="F57" s="284"/>
      <c r="G57" s="284"/>
      <c r="H57" s="284"/>
      <c r="I57" s="284"/>
    </row>
    <row r="58" spans="1:9" x14ac:dyDescent="0.25">
      <c r="B58" s="284"/>
      <c r="C58" s="284"/>
      <c r="D58" s="284"/>
      <c r="E58" s="284"/>
      <c r="F58" s="284"/>
      <c r="G58" s="284"/>
      <c r="H58" s="284"/>
      <c r="I58" s="284"/>
    </row>
    <row r="59" spans="1:9" x14ac:dyDescent="0.25">
      <c r="B59" s="284"/>
      <c r="C59" s="284"/>
      <c r="D59" s="284"/>
      <c r="E59" s="284"/>
      <c r="F59" s="284"/>
      <c r="G59" s="284"/>
      <c r="H59" s="284"/>
      <c r="I59" s="284"/>
    </row>
    <row r="60" spans="1:9" x14ac:dyDescent="0.25">
      <c r="B60" s="284"/>
      <c r="C60" s="284"/>
      <c r="D60" s="284"/>
      <c r="E60" s="284"/>
      <c r="F60" s="284"/>
      <c r="G60" s="284"/>
      <c r="H60" s="284"/>
      <c r="I60" s="284"/>
    </row>
    <row r="61" spans="1:9" x14ac:dyDescent="0.25">
      <c r="B61" s="284"/>
      <c r="C61" s="284"/>
      <c r="D61" s="284"/>
      <c r="E61" s="284"/>
      <c r="F61" s="284"/>
      <c r="G61" s="284"/>
      <c r="H61" s="284"/>
      <c r="I61" s="284"/>
    </row>
    <row r="62" spans="1:9" x14ac:dyDescent="0.25">
      <c r="B62" s="284"/>
      <c r="C62" s="284"/>
      <c r="D62" s="284"/>
      <c r="E62" s="284"/>
      <c r="F62" s="284"/>
      <c r="G62" s="284"/>
      <c r="H62" s="284"/>
      <c r="I62" s="284"/>
    </row>
    <row r="63" spans="1:9" x14ac:dyDescent="0.25">
      <c r="B63" s="284"/>
      <c r="C63" s="284"/>
      <c r="D63" s="284"/>
      <c r="E63" s="284"/>
      <c r="F63" s="284"/>
      <c r="G63" s="284"/>
      <c r="H63" s="284"/>
      <c r="I63" s="284"/>
    </row>
    <row r="64" spans="1:9" x14ac:dyDescent="0.25">
      <c r="B64" s="284"/>
      <c r="C64" s="284"/>
      <c r="D64" s="284"/>
      <c r="E64" s="284"/>
      <c r="F64" s="284"/>
      <c r="G64" s="284"/>
      <c r="H64" s="284"/>
      <c r="I64" s="284"/>
    </row>
  </sheetData>
  <pageMargins left="0.70866141732283472" right="0.70866141732283472" top="0.47244094488188981" bottom="0.47244094488188981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1"/>
  <sheetViews>
    <sheetView topLeftCell="A48" zoomScale="90" zoomScaleNormal="90" workbookViewId="0">
      <selection activeCell="J18" sqref="J18"/>
    </sheetView>
  </sheetViews>
  <sheetFormatPr defaultRowHeight="15" x14ac:dyDescent="0.25"/>
  <cols>
    <col min="1" max="1" width="5.140625" style="236" customWidth="1"/>
    <col min="2" max="2" width="36" style="236" customWidth="1"/>
    <col min="3" max="3" width="15.28515625" style="236" customWidth="1"/>
    <col min="4" max="5" width="18.5703125" style="236" hidden="1" customWidth="1"/>
    <col min="6" max="10" width="18.5703125" style="312" customWidth="1"/>
    <col min="11" max="11" width="12.42578125" bestFit="1" customWidth="1"/>
  </cols>
  <sheetData>
    <row r="1" spans="1:17" ht="87.75" customHeight="1" x14ac:dyDescent="0.25">
      <c r="A1" s="232"/>
      <c r="B1" s="219"/>
      <c r="C1" s="232"/>
      <c r="D1" s="235"/>
      <c r="E1" s="235"/>
      <c r="F1" s="235"/>
      <c r="I1" s="1016" t="s">
        <v>263</v>
      </c>
      <c r="J1" s="1016"/>
    </row>
    <row r="2" spans="1:17" ht="18.75" x14ac:dyDescent="0.25">
      <c r="A2" s="1012" t="s">
        <v>262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20"/>
      <c r="C4" s="233"/>
      <c r="D4" s="233"/>
      <c r="E4" s="233"/>
      <c r="F4" s="235"/>
      <c r="J4" s="79" t="s">
        <v>172</v>
      </c>
    </row>
    <row r="5" spans="1:17" ht="25.5" x14ac:dyDescent="0.25">
      <c r="A5" s="224" t="s">
        <v>173</v>
      </c>
      <c r="B5" s="224" t="s">
        <v>223</v>
      </c>
      <c r="C5" s="224" t="s">
        <v>175</v>
      </c>
      <c r="D5" s="224">
        <v>2014</v>
      </c>
      <c r="E5" s="224">
        <v>2015</v>
      </c>
      <c r="F5" s="311">
        <v>2016</v>
      </c>
      <c r="G5" s="311">
        <v>2017</v>
      </c>
      <c r="H5" s="311">
        <v>2018</v>
      </c>
      <c r="I5" s="311">
        <v>2019</v>
      </c>
      <c r="J5" s="311">
        <v>2020</v>
      </c>
    </row>
    <row r="6" spans="1:17" x14ac:dyDescent="0.25">
      <c r="A6" s="246"/>
      <c r="B6" s="246" t="s">
        <v>224</v>
      </c>
      <c r="C6" s="246"/>
      <c r="D6" s="147">
        <f>D7</f>
        <v>75327200</v>
      </c>
      <c r="E6" s="147">
        <f t="shared" ref="E6:J7" si="0">E7</f>
        <v>75225288.870000005</v>
      </c>
      <c r="F6" s="147">
        <f t="shared" si="0"/>
        <v>78333293.050000012</v>
      </c>
      <c r="G6" s="147">
        <f t="shared" si="0"/>
        <v>148646856.55999997</v>
      </c>
      <c r="H6" s="147">
        <f t="shared" si="0"/>
        <v>148908492.55999997</v>
      </c>
      <c r="I6" s="147">
        <f t="shared" si="0"/>
        <v>148340010.51999998</v>
      </c>
      <c r="J6" s="147">
        <f t="shared" si="0"/>
        <v>148340010.51999998</v>
      </c>
      <c r="K6" s="222">
        <f>D6-'таблица (всего)'!D99</f>
        <v>0</v>
      </c>
      <c r="L6" s="222">
        <f>E6-'таблица (всего)'!E99</f>
        <v>0</v>
      </c>
      <c r="M6" s="222">
        <f>F6-'таблица (всего)'!F99</f>
        <v>-219570</v>
      </c>
      <c r="N6" s="222">
        <f>G6-'таблица (всего)'!G99</f>
        <v>-300000</v>
      </c>
      <c r="O6" s="222">
        <f>H6-'таблица (всего)'!H99</f>
        <v>-300000</v>
      </c>
      <c r="P6" s="222">
        <f>I6-'таблица (всего)'!I99</f>
        <v>-300000</v>
      </c>
      <c r="Q6" s="222">
        <f>J6-'таблица (всего)'!J99</f>
        <v>-300000</v>
      </c>
    </row>
    <row r="7" spans="1:17" x14ac:dyDescent="0.25">
      <c r="A7" s="246"/>
      <c r="B7" s="246" t="s">
        <v>225</v>
      </c>
      <c r="C7" s="1021"/>
      <c r="D7" s="147">
        <f>D8</f>
        <v>75327200</v>
      </c>
      <c r="E7" s="147">
        <f t="shared" si="0"/>
        <v>75225288.870000005</v>
      </c>
      <c r="F7" s="147">
        <f t="shared" si="0"/>
        <v>78333293.050000012</v>
      </c>
      <c r="G7" s="147">
        <f t="shared" si="0"/>
        <v>148646856.55999997</v>
      </c>
      <c r="H7" s="147">
        <f t="shared" si="0"/>
        <v>148908492.55999997</v>
      </c>
      <c r="I7" s="147">
        <f t="shared" si="0"/>
        <v>148340010.51999998</v>
      </c>
      <c r="J7" s="147">
        <f t="shared" si="0"/>
        <v>148340010.51999998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6"/>
      <c r="B8" s="246" t="s">
        <v>177</v>
      </c>
      <c r="C8" s="1021"/>
      <c r="D8" s="147">
        <f t="shared" ref="D8:J8" si="1">D12+D36+D56</f>
        <v>75327200</v>
      </c>
      <c r="E8" s="147">
        <f t="shared" si="1"/>
        <v>75225288.870000005</v>
      </c>
      <c r="F8" s="147">
        <f t="shared" si="1"/>
        <v>78333293.050000012</v>
      </c>
      <c r="G8" s="147">
        <f t="shared" si="1"/>
        <v>148646856.55999997</v>
      </c>
      <c r="H8" s="147">
        <f t="shared" si="1"/>
        <v>148908492.55999997</v>
      </c>
      <c r="I8" s="147">
        <f t="shared" si="1"/>
        <v>148340010.51999998</v>
      </c>
      <c r="J8" s="147">
        <f t="shared" si="1"/>
        <v>148340010.51999998</v>
      </c>
      <c r="K8" s="222">
        <f>D8-'таблица (всего)'!D101</f>
        <v>0</v>
      </c>
      <c r="L8" s="222">
        <f>E8-'таблица (всего)'!E101</f>
        <v>0</v>
      </c>
      <c r="M8" s="222">
        <f>F8-'таблица (всего)'!F101</f>
        <v>-219570</v>
      </c>
      <c r="N8" s="222">
        <f>G8-'таблица (всего)'!G101</f>
        <v>-300000</v>
      </c>
      <c r="O8" s="222">
        <f>H8-'таблица (всего)'!H101</f>
        <v>-300000</v>
      </c>
      <c r="P8" s="222">
        <f>I8-'таблица (всего)'!I101</f>
        <v>-300000</v>
      </c>
      <c r="Q8" s="222">
        <f>J8-'таблица (всего)'!J101</f>
        <v>-300000</v>
      </c>
    </row>
    <row r="9" spans="1:17" x14ac:dyDescent="0.25">
      <c r="A9" s="226"/>
      <c r="B9" s="246" t="s">
        <v>178</v>
      </c>
      <c r="C9" s="1021"/>
      <c r="D9" s="239" t="s">
        <v>227</v>
      </c>
      <c r="E9" s="239" t="s">
        <v>227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</row>
    <row r="10" spans="1:17" ht="51" x14ac:dyDescent="0.25">
      <c r="A10" s="246" t="s">
        <v>228</v>
      </c>
      <c r="B10" s="247" t="str">
        <f>'таблица (всего)'!C102</f>
        <v>«Меры социальной поддержки отдельных групп населения при оказании медицинской помощи»</v>
      </c>
      <c r="C10" s="226" t="s">
        <v>180</v>
      </c>
      <c r="D10" s="147">
        <f>D11</f>
        <v>3101500</v>
      </c>
      <c r="E10" s="147">
        <f t="shared" ref="E10:J11" si="2">E11</f>
        <v>2207412.4</v>
      </c>
      <c r="F10" s="147">
        <f t="shared" si="2"/>
        <v>1707842.4</v>
      </c>
      <c r="G10" s="147">
        <f t="shared" si="2"/>
        <v>1121899.94</v>
      </c>
      <c r="H10" s="147">
        <f t="shared" si="2"/>
        <v>1121899.94</v>
      </c>
      <c r="I10" s="147">
        <f t="shared" si="2"/>
        <v>1121899.94</v>
      </c>
      <c r="J10" s="147">
        <f t="shared" si="2"/>
        <v>1121899.94</v>
      </c>
    </row>
    <row r="11" spans="1:17" x14ac:dyDescent="0.25">
      <c r="A11" s="246"/>
      <c r="B11" s="226" t="s">
        <v>225</v>
      </c>
      <c r="C11" s="1020"/>
      <c r="D11" s="147">
        <f>D12</f>
        <v>3101500</v>
      </c>
      <c r="E11" s="147">
        <f t="shared" si="2"/>
        <v>2207412.4</v>
      </c>
      <c r="F11" s="147">
        <f t="shared" si="2"/>
        <v>1707842.4</v>
      </c>
      <c r="G11" s="147">
        <f t="shared" si="2"/>
        <v>1121899.94</v>
      </c>
      <c r="H11" s="147">
        <f t="shared" si="2"/>
        <v>1121899.94</v>
      </c>
      <c r="I11" s="147">
        <f t="shared" si="2"/>
        <v>1121899.94</v>
      </c>
      <c r="J11" s="147">
        <f t="shared" si="2"/>
        <v>1121899.94</v>
      </c>
    </row>
    <row r="12" spans="1:17" x14ac:dyDescent="0.25">
      <c r="A12" s="246"/>
      <c r="B12" s="226" t="s">
        <v>177</v>
      </c>
      <c r="C12" s="1020"/>
      <c r="D12" s="147">
        <f t="shared" ref="D12:J12" si="3">D16+D20+D24+D28+D32</f>
        <v>3101500</v>
      </c>
      <c r="E12" s="147">
        <f t="shared" si="3"/>
        <v>2207412.4</v>
      </c>
      <c r="F12" s="147">
        <f t="shared" si="3"/>
        <v>1707842.4</v>
      </c>
      <c r="G12" s="147">
        <f t="shared" si="3"/>
        <v>1121899.94</v>
      </c>
      <c r="H12" s="147">
        <f t="shared" si="3"/>
        <v>1121899.94</v>
      </c>
      <c r="I12" s="147">
        <f t="shared" si="3"/>
        <v>1121899.94</v>
      </c>
      <c r="J12" s="147">
        <f t="shared" si="3"/>
        <v>1121899.94</v>
      </c>
    </row>
    <row r="13" spans="1:17" x14ac:dyDescent="0.25">
      <c r="A13" s="246"/>
      <c r="B13" s="226" t="s">
        <v>178</v>
      </c>
      <c r="C13" s="1020"/>
      <c r="D13" s="239" t="s">
        <v>227</v>
      </c>
      <c r="E13" s="239" t="s">
        <v>227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</row>
    <row r="14" spans="1:17" ht="82.5" hidden="1" customHeight="1" x14ac:dyDescent="0.25">
      <c r="A14" s="245" t="s">
        <v>234</v>
      </c>
      <c r="B14" s="229" t="str">
        <f>'таблица (всего)'!C103</f>
        <v>Обеспечение больных с хронической почечной недостаточностью, получающих процедуру диализа на аппарате «искусственная почка» в областных учреждениях здравоохранения, одноразовым лечебным питанием</v>
      </c>
      <c r="C14" s="226" t="s">
        <v>180</v>
      </c>
      <c r="D14" s="147">
        <f>D15</f>
        <v>662200</v>
      </c>
      <c r="E14" s="147">
        <f t="shared" ref="E14:J15" si="4">E15</f>
        <v>0</v>
      </c>
      <c r="F14" s="147">
        <f t="shared" si="4"/>
        <v>0</v>
      </c>
      <c r="G14" s="147">
        <f t="shared" si="4"/>
        <v>0</v>
      </c>
      <c r="H14" s="147">
        <f t="shared" si="4"/>
        <v>0</v>
      </c>
      <c r="I14" s="147">
        <f t="shared" si="4"/>
        <v>0</v>
      </c>
      <c r="J14" s="147">
        <f t="shared" si="4"/>
        <v>0</v>
      </c>
    </row>
    <row r="15" spans="1:17" hidden="1" x14ac:dyDescent="0.25">
      <c r="A15" s="226"/>
      <c r="B15" s="226" t="s">
        <v>225</v>
      </c>
      <c r="C15" s="1017"/>
      <c r="D15" s="147">
        <f>D16</f>
        <v>662200</v>
      </c>
      <c r="E15" s="147">
        <f t="shared" si="4"/>
        <v>0</v>
      </c>
      <c r="F15" s="147">
        <f t="shared" si="4"/>
        <v>0</v>
      </c>
      <c r="G15" s="147">
        <f t="shared" si="4"/>
        <v>0</v>
      </c>
      <c r="H15" s="147">
        <f t="shared" si="4"/>
        <v>0</v>
      </c>
      <c r="I15" s="147">
        <f t="shared" si="4"/>
        <v>0</v>
      </c>
      <c r="J15" s="147">
        <f t="shared" si="4"/>
        <v>0</v>
      </c>
    </row>
    <row r="16" spans="1:17" hidden="1" x14ac:dyDescent="0.25">
      <c r="A16" s="226"/>
      <c r="B16" s="226" t="s">
        <v>177</v>
      </c>
      <c r="C16" s="1018"/>
      <c r="D16" s="147">
        <f>'таблица (всего)'!D103</f>
        <v>662200</v>
      </c>
      <c r="E16" s="147">
        <f>'таблица (всего)'!E103</f>
        <v>0</v>
      </c>
      <c r="F16" s="147">
        <f>'таблица (всего)'!F103</f>
        <v>0</v>
      </c>
      <c r="G16" s="147">
        <f>'таблица (всего)'!G103</f>
        <v>0</v>
      </c>
      <c r="H16" s="147">
        <f>'таблица (всего)'!H103</f>
        <v>0</v>
      </c>
      <c r="I16" s="147">
        <f>'таблица (всего)'!I103</f>
        <v>0</v>
      </c>
      <c r="J16" s="147">
        <f>'таблица (всего)'!J103</f>
        <v>0</v>
      </c>
    </row>
    <row r="17" spans="1:10" hidden="1" x14ac:dyDescent="0.25">
      <c r="A17" s="226"/>
      <c r="B17" s="226" t="s">
        <v>178</v>
      </c>
      <c r="C17" s="1018"/>
      <c r="D17" s="239" t="s">
        <v>227</v>
      </c>
      <c r="E17" s="239" t="s">
        <v>227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</row>
    <row r="18" spans="1:10" ht="138" customHeight="1" x14ac:dyDescent="0.25">
      <c r="A18" s="246" t="s">
        <v>235</v>
      </c>
      <c r="B18" s="229" t="str">
        <f>'таблица (всего)'!C104</f>
        <v>Компенсация стоимости проезда лицам,направленным областными учреждениями здравоохранения на обязательное обследование(консультацию) или лечение в областные противотуберкулезные учреждения или их подразделения до места обследования (консультации) или лечения (туда и обратно) на транспорте городского, пригородного и межмуниципального сообщения</v>
      </c>
      <c r="C18" s="226" t="s">
        <v>180</v>
      </c>
      <c r="D18" s="147">
        <f>D19</f>
        <v>735300</v>
      </c>
      <c r="E18" s="147">
        <f t="shared" ref="E18:J19" si="5">E19</f>
        <v>805512.4</v>
      </c>
      <c r="F18" s="147">
        <f t="shared" si="5"/>
        <v>585942.4</v>
      </c>
      <c r="G18" s="147">
        <f t="shared" si="5"/>
        <v>0</v>
      </c>
      <c r="H18" s="147">
        <f t="shared" si="5"/>
        <v>0</v>
      </c>
      <c r="I18" s="147">
        <f t="shared" si="5"/>
        <v>0</v>
      </c>
      <c r="J18" s="147">
        <f t="shared" si="5"/>
        <v>0</v>
      </c>
    </row>
    <row r="19" spans="1:10" x14ac:dyDescent="0.25">
      <c r="A19" s="226"/>
      <c r="B19" s="226" t="s">
        <v>225</v>
      </c>
      <c r="C19" s="1020"/>
      <c r="D19" s="147">
        <f>D20</f>
        <v>735300</v>
      </c>
      <c r="E19" s="147">
        <f t="shared" si="5"/>
        <v>805512.4</v>
      </c>
      <c r="F19" s="147">
        <f t="shared" si="5"/>
        <v>585942.4</v>
      </c>
      <c r="G19" s="147">
        <f t="shared" si="5"/>
        <v>0</v>
      </c>
      <c r="H19" s="147">
        <f t="shared" si="5"/>
        <v>0</v>
      </c>
      <c r="I19" s="147">
        <f t="shared" si="5"/>
        <v>0</v>
      </c>
      <c r="J19" s="147">
        <f t="shared" si="5"/>
        <v>0</v>
      </c>
    </row>
    <row r="20" spans="1:10" x14ac:dyDescent="0.25">
      <c r="A20" s="226"/>
      <c r="B20" s="226" t="s">
        <v>177</v>
      </c>
      <c r="C20" s="1020"/>
      <c r="D20" s="147">
        <f>'таблица (всего)'!D104</f>
        <v>735300</v>
      </c>
      <c r="E20" s="147">
        <f>'таблица (всего)'!E104</f>
        <v>805512.4</v>
      </c>
      <c r="F20" s="147">
        <f>'таблица (всего)'!F104</f>
        <v>585942.4</v>
      </c>
      <c r="G20" s="147">
        <f>'таблица (всего)'!G104</f>
        <v>0</v>
      </c>
      <c r="H20" s="147">
        <f>'таблица (всего)'!H104</f>
        <v>0</v>
      </c>
      <c r="I20" s="147">
        <f>'таблица (всего)'!I104</f>
        <v>0</v>
      </c>
      <c r="J20" s="147">
        <f>'таблица (всего)'!J104</f>
        <v>0</v>
      </c>
    </row>
    <row r="21" spans="1:10" x14ac:dyDescent="0.25">
      <c r="A21" s="226"/>
      <c r="B21" s="226" t="s">
        <v>178</v>
      </c>
      <c r="C21" s="1020"/>
      <c r="D21" s="239" t="s">
        <v>227</v>
      </c>
      <c r="E21" s="239" t="s">
        <v>227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</row>
    <row r="22" spans="1:10" ht="110.25" customHeight="1" x14ac:dyDescent="0.25">
      <c r="A22" s="246" t="s">
        <v>246</v>
      </c>
      <c r="B22" s="229" t="str">
        <f>'таблица (всего)'!C106</f>
        <v>Обеспечение лиц, состоящих на диспансерном учете в ОБУЗ «Областной противотуберкулезный диспансер имени М.Б. Стоюнина», ежемесячным продуктовым набором на весь период курса противотуберкулезной терапии в амбулаторных условиях и в условиях дневных стационаров</v>
      </c>
      <c r="C22" s="226" t="s">
        <v>180</v>
      </c>
      <c r="D22" s="147">
        <f>D23</f>
        <v>470000</v>
      </c>
      <c r="E22" s="147">
        <f t="shared" ref="E22:J23" si="6">E23</f>
        <v>400000</v>
      </c>
      <c r="F22" s="147">
        <f t="shared" si="6"/>
        <v>120000</v>
      </c>
      <c r="G22" s="147">
        <f t="shared" si="6"/>
        <v>120000</v>
      </c>
      <c r="H22" s="147">
        <f t="shared" si="6"/>
        <v>120000</v>
      </c>
      <c r="I22" s="147">
        <f t="shared" si="6"/>
        <v>120000</v>
      </c>
      <c r="J22" s="147">
        <f t="shared" si="6"/>
        <v>120000</v>
      </c>
    </row>
    <row r="23" spans="1:10" x14ac:dyDescent="0.25">
      <c r="A23" s="226"/>
      <c r="B23" s="226" t="s">
        <v>225</v>
      </c>
      <c r="C23" s="1020"/>
      <c r="D23" s="147">
        <f>D24</f>
        <v>470000</v>
      </c>
      <c r="E23" s="147">
        <f t="shared" si="6"/>
        <v>400000</v>
      </c>
      <c r="F23" s="147">
        <f t="shared" si="6"/>
        <v>120000</v>
      </c>
      <c r="G23" s="147">
        <f t="shared" si="6"/>
        <v>120000</v>
      </c>
      <c r="H23" s="147">
        <f t="shared" si="6"/>
        <v>120000</v>
      </c>
      <c r="I23" s="147">
        <f t="shared" si="6"/>
        <v>120000</v>
      </c>
      <c r="J23" s="147">
        <f t="shared" si="6"/>
        <v>120000</v>
      </c>
    </row>
    <row r="24" spans="1:10" x14ac:dyDescent="0.25">
      <c r="A24" s="226"/>
      <c r="B24" s="226" t="s">
        <v>177</v>
      </c>
      <c r="C24" s="1020"/>
      <c r="D24" s="147">
        <f>'таблица (всего)'!D106</f>
        <v>470000</v>
      </c>
      <c r="E24" s="147">
        <f>'таблица (всего)'!E106</f>
        <v>400000</v>
      </c>
      <c r="F24" s="147">
        <f>'таблица (всего)'!F106</f>
        <v>120000</v>
      </c>
      <c r="G24" s="147">
        <f>'таблица (всего)'!G106</f>
        <v>120000</v>
      </c>
      <c r="H24" s="147">
        <f>'таблица (всего)'!H106</f>
        <v>120000</v>
      </c>
      <c r="I24" s="147">
        <f>'таблица (всего)'!I106</f>
        <v>120000</v>
      </c>
      <c r="J24" s="147">
        <f>'таблица (всего)'!J106</f>
        <v>120000</v>
      </c>
    </row>
    <row r="25" spans="1:10" x14ac:dyDescent="0.25">
      <c r="A25" s="226"/>
      <c r="B25" s="226" t="s">
        <v>178</v>
      </c>
      <c r="C25" s="1020"/>
      <c r="D25" s="239" t="s">
        <v>227</v>
      </c>
      <c r="E25" s="239" t="s">
        <v>227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</row>
    <row r="26" spans="1:10" ht="127.5" hidden="1" x14ac:dyDescent="0.25">
      <c r="A26" s="240" t="s">
        <v>247</v>
      </c>
      <c r="B26" s="226" t="str">
        <f>'таблица (всего)'!C107</f>
        <v xml:space="preserve">Компенсация затрат по проезду на транспорте общего пользования междугороднего и пригородного сообщения к месту получения процедуры диализа на аппарате "искусственная почка" и обратно больным с хронической почечной недостаточностью, получающим данную процедуру в областных учреждениях здравоохранения
</v>
      </c>
      <c r="C26" s="226" t="s">
        <v>180</v>
      </c>
      <c r="D26" s="147">
        <f>D27</f>
        <v>967800</v>
      </c>
      <c r="E26" s="147">
        <f t="shared" ref="E26:J27" si="7">E27</f>
        <v>0</v>
      </c>
      <c r="F26" s="147">
        <f t="shared" si="7"/>
        <v>0</v>
      </c>
      <c r="G26" s="147">
        <f t="shared" si="7"/>
        <v>0</v>
      </c>
      <c r="H26" s="147">
        <f t="shared" si="7"/>
        <v>0</v>
      </c>
      <c r="I26" s="147">
        <f t="shared" si="7"/>
        <v>0</v>
      </c>
      <c r="J26" s="147">
        <f t="shared" si="7"/>
        <v>0</v>
      </c>
    </row>
    <row r="27" spans="1:10" hidden="1" x14ac:dyDescent="0.25">
      <c r="A27" s="226"/>
      <c r="B27" s="226" t="s">
        <v>225</v>
      </c>
      <c r="C27" s="1020"/>
      <c r="D27" s="147">
        <f>D28</f>
        <v>967800</v>
      </c>
      <c r="E27" s="147">
        <f t="shared" si="7"/>
        <v>0</v>
      </c>
      <c r="F27" s="147">
        <f t="shared" si="7"/>
        <v>0</v>
      </c>
      <c r="G27" s="147">
        <f t="shared" si="7"/>
        <v>0</v>
      </c>
      <c r="H27" s="147">
        <f t="shared" si="7"/>
        <v>0</v>
      </c>
      <c r="I27" s="147">
        <f t="shared" si="7"/>
        <v>0</v>
      </c>
      <c r="J27" s="147">
        <f t="shared" si="7"/>
        <v>0</v>
      </c>
    </row>
    <row r="28" spans="1:10" hidden="1" x14ac:dyDescent="0.25">
      <c r="A28" s="226"/>
      <c r="B28" s="226" t="s">
        <v>177</v>
      </c>
      <c r="C28" s="1020"/>
      <c r="D28" s="147">
        <f>'таблица (всего)'!D107</f>
        <v>967800</v>
      </c>
      <c r="E28" s="147">
        <f>'таблица (всего)'!E107</f>
        <v>0</v>
      </c>
      <c r="F28" s="147">
        <f>'таблица (всего)'!F107</f>
        <v>0</v>
      </c>
      <c r="G28" s="147">
        <f>'таблица (всего)'!G107</f>
        <v>0</v>
      </c>
      <c r="H28" s="147">
        <f>'таблица (всего)'!H107</f>
        <v>0</v>
      </c>
      <c r="I28" s="147">
        <f>'таблица (всего)'!I107</f>
        <v>0</v>
      </c>
      <c r="J28" s="147">
        <f>'таблица (всего)'!J107</f>
        <v>0</v>
      </c>
    </row>
    <row r="29" spans="1:10" hidden="1" x14ac:dyDescent="0.25">
      <c r="A29" s="226"/>
      <c r="B29" s="226" t="s">
        <v>178</v>
      </c>
      <c r="C29" s="1020"/>
      <c r="D29" s="239" t="s">
        <v>227</v>
      </c>
      <c r="E29" s="239" t="s">
        <v>227</v>
      </c>
      <c r="F29" s="147">
        <v>0</v>
      </c>
      <c r="G29" s="147">
        <v>0</v>
      </c>
      <c r="H29" s="147">
        <v>0</v>
      </c>
      <c r="I29" s="147">
        <v>0</v>
      </c>
      <c r="J29" s="147">
        <v>0</v>
      </c>
    </row>
    <row r="30" spans="1:10" ht="204" x14ac:dyDescent="0.25">
      <c r="A30" s="240" t="s">
        <v>248</v>
      </c>
      <c r="B30" s="229" t="str">
        <f>'таблица (всего)'!C108</f>
        <v>Компенсация затрат по проезду на транспорте общего пользования междугороднего и пригородного сообщения к месту получения процедуры диализа на аппарате «искусственная почка» и обратно больным с хронической почечной недостаточностью, получающим данную процедуру в медицинских организациях,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области, в том числе территориальной программы обязательного медицинского страхования</v>
      </c>
      <c r="C30" s="226" t="s">
        <v>180</v>
      </c>
      <c r="D30" s="147">
        <f>D31</f>
        <v>266200</v>
      </c>
      <c r="E30" s="147">
        <f t="shared" ref="E30:J31" si="8">E31</f>
        <v>1001900</v>
      </c>
      <c r="F30" s="147">
        <f t="shared" si="8"/>
        <v>1001900</v>
      </c>
      <c r="G30" s="147">
        <f t="shared" si="8"/>
        <v>1001899.94</v>
      </c>
      <c r="H30" s="147">
        <f t="shared" si="8"/>
        <v>1001899.94</v>
      </c>
      <c r="I30" s="147">
        <f t="shared" si="8"/>
        <v>1001899.94</v>
      </c>
      <c r="J30" s="147">
        <f t="shared" si="8"/>
        <v>1001899.94</v>
      </c>
    </row>
    <row r="31" spans="1:10" x14ac:dyDescent="0.25">
      <c r="A31" s="226"/>
      <c r="B31" s="226" t="s">
        <v>225</v>
      </c>
      <c r="C31" s="1020"/>
      <c r="D31" s="147">
        <f>D32</f>
        <v>266200</v>
      </c>
      <c r="E31" s="147">
        <f t="shared" si="8"/>
        <v>1001900</v>
      </c>
      <c r="F31" s="147">
        <f t="shared" si="8"/>
        <v>1001900</v>
      </c>
      <c r="G31" s="147">
        <f t="shared" si="8"/>
        <v>1001899.94</v>
      </c>
      <c r="H31" s="147">
        <f t="shared" si="8"/>
        <v>1001899.94</v>
      </c>
      <c r="I31" s="147">
        <f t="shared" si="8"/>
        <v>1001899.94</v>
      </c>
      <c r="J31" s="147">
        <f t="shared" si="8"/>
        <v>1001899.94</v>
      </c>
    </row>
    <row r="32" spans="1:10" x14ac:dyDescent="0.25">
      <c r="A32" s="226"/>
      <c r="B32" s="226" t="s">
        <v>177</v>
      </c>
      <c r="C32" s="1020"/>
      <c r="D32" s="147">
        <f>'таблица (всего)'!D108</f>
        <v>266200</v>
      </c>
      <c r="E32" s="147">
        <f>'таблица (всего)'!E108</f>
        <v>1001900</v>
      </c>
      <c r="F32" s="147">
        <f>'таблица (всего)'!F108</f>
        <v>1001900</v>
      </c>
      <c r="G32" s="147">
        <f>'таблица (всего)'!G108</f>
        <v>1001899.94</v>
      </c>
      <c r="H32" s="147">
        <f>'таблица (всего)'!H108</f>
        <v>1001899.94</v>
      </c>
      <c r="I32" s="147">
        <f>'таблица (всего)'!I108</f>
        <v>1001899.94</v>
      </c>
      <c r="J32" s="147">
        <f>'таблица (всего)'!J108</f>
        <v>1001899.94</v>
      </c>
    </row>
    <row r="33" spans="1:10" x14ac:dyDescent="0.25">
      <c r="A33" s="226"/>
      <c r="B33" s="226" t="s">
        <v>178</v>
      </c>
      <c r="C33" s="1020"/>
      <c r="D33" s="239" t="s">
        <v>227</v>
      </c>
      <c r="E33" s="239" t="s">
        <v>227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</row>
    <row r="34" spans="1:10" ht="51" x14ac:dyDescent="0.25">
      <c r="A34" s="226" t="s">
        <v>229</v>
      </c>
      <c r="B34" s="229" t="str">
        <f>'таблица (всего)'!C109</f>
        <v>«Меры социальной поддержки по обеспечению отдельных групп населения лекарственными препаратами и изделиями медицинского назначения»</v>
      </c>
      <c r="C34" s="226" t="s">
        <v>180</v>
      </c>
      <c r="D34" s="147">
        <f>D35</f>
        <v>72165700</v>
      </c>
      <c r="E34" s="147">
        <f t="shared" ref="E34:J35" si="9">E35</f>
        <v>72957876.469999999</v>
      </c>
      <c r="F34" s="147">
        <f t="shared" si="9"/>
        <v>76565450.650000006</v>
      </c>
      <c r="G34" s="147">
        <f t="shared" si="9"/>
        <v>147464956.61999997</v>
      </c>
      <c r="H34" s="147">
        <f t="shared" si="9"/>
        <v>147726592.61999997</v>
      </c>
      <c r="I34" s="147">
        <f t="shared" si="9"/>
        <v>147158110.57999998</v>
      </c>
      <c r="J34" s="147">
        <f t="shared" si="9"/>
        <v>147158110.57999998</v>
      </c>
    </row>
    <row r="35" spans="1:10" x14ac:dyDescent="0.25">
      <c r="A35" s="226"/>
      <c r="B35" s="226" t="s">
        <v>225</v>
      </c>
      <c r="C35" s="1020"/>
      <c r="D35" s="147">
        <f>D36</f>
        <v>72165700</v>
      </c>
      <c r="E35" s="147">
        <f t="shared" si="9"/>
        <v>72957876.469999999</v>
      </c>
      <c r="F35" s="147">
        <f t="shared" si="9"/>
        <v>76565450.650000006</v>
      </c>
      <c r="G35" s="147">
        <f t="shared" si="9"/>
        <v>147464956.61999997</v>
      </c>
      <c r="H35" s="147">
        <f t="shared" si="9"/>
        <v>147726592.61999997</v>
      </c>
      <c r="I35" s="147">
        <f t="shared" si="9"/>
        <v>147158110.57999998</v>
      </c>
      <c r="J35" s="147">
        <f t="shared" si="9"/>
        <v>147158110.57999998</v>
      </c>
    </row>
    <row r="36" spans="1:10" x14ac:dyDescent="0.25">
      <c r="A36" s="226"/>
      <c r="B36" s="226" t="s">
        <v>177</v>
      </c>
      <c r="C36" s="1020"/>
      <c r="D36" s="147">
        <f t="shared" ref="D36:J36" si="10">D40+D44+D48+D52</f>
        <v>72165700</v>
      </c>
      <c r="E36" s="147">
        <f t="shared" si="10"/>
        <v>72957876.469999999</v>
      </c>
      <c r="F36" s="147">
        <f t="shared" si="10"/>
        <v>76565450.650000006</v>
      </c>
      <c r="G36" s="147">
        <f t="shared" si="10"/>
        <v>147464956.61999997</v>
      </c>
      <c r="H36" s="147">
        <f t="shared" si="10"/>
        <v>147726592.61999997</v>
      </c>
      <c r="I36" s="147">
        <f t="shared" si="10"/>
        <v>147158110.57999998</v>
      </c>
      <c r="J36" s="147">
        <f t="shared" si="10"/>
        <v>147158110.57999998</v>
      </c>
    </row>
    <row r="37" spans="1:10" x14ac:dyDescent="0.25">
      <c r="A37" s="226"/>
      <c r="B37" s="226" t="s">
        <v>178</v>
      </c>
      <c r="C37" s="1020"/>
      <c r="D37" s="239" t="s">
        <v>227</v>
      </c>
      <c r="E37" s="239" t="s">
        <v>227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</row>
    <row r="38" spans="1:10" ht="76.5" x14ac:dyDescent="0.25">
      <c r="A38" s="240" t="s">
        <v>236</v>
      </c>
      <c r="B38" s="229" t="str">
        <f>'таблица (всего)'!C110</f>
        <v>Обеспечение лиц, больных сахарным диабетом, сахаропонижающими препаратами, средствами индивидуального контроля, средствами введения (шприц-ручки, шприцы инсулиновые и иглы к ним)</v>
      </c>
      <c r="C38" s="226" t="s">
        <v>180</v>
      </c>
      <c r="D38" s="147">
        <f>D39</f>
        <v>59794600</v>
      </c>
      <c r="E38" s="147">
        <f t="shared" ref="E38:J39" si="11">E39</f>
        <v>63755300</v>
      </c>
      <c r="F38" s="147">
        <f t="shared" si="11"/>
        <v>64060542</v>
      </c>
      <c r="G38" s="147">
        <f t="shared" si="11"/>
        <v>133157813.2</v>
      </c>
      <c r="H38" s="147">
        <f t="shared" si="11"/>
        <v>133419449.2</v>
      </c>
      <c r="I38" s="147">
        <f t="shared" si="11"/>
        <v>132850967.16</v>
      </c>
      <c r="J38" s="147">
        <f t="shared" si="11"/>
        <v>132850967.16</v>
      </c>
    </row>
    <row r="39" spans="1:10" x14ac:dyDescent="0.25">
      <c r="A39" s="226"/>
      <c r="B39" s="226" t="s">
        <v>225</v>
      </c>
      <c r="C39" s="1020"/>
      <c r="D39" s="147">
        <f>D40</f>
        <v>59794600</v>
      </c>
      <c r="E39" s="147">
        <f t="shared" si="11"/>
        <v>63755300</v>
      </c>
      <c r="F39" s="147">
        <f t="shared" si="11"/>
        <v>64060542</v>
      </c>
      <c r="G39" s="147">
        <f t="shared" si="11"/>
        <v>133157813.2</v>
      </c>
      <c r="H39" s="147">
        <f t="shared" si="11"/>
        <v>133419449.2</v>
      </c>
      <c r="I39" s="147">
        <f t="shared" si="11"/>
        <v>132850967.16</v>
      </c>
      <c r="J39" s="147">
        <f t="shared" si="11"/>
        <v>132850967.16</v>
      </c>
    </row>
    <row r="40" spans="1:10" x14ac:dyDescent="0.25">
      <c r="A40" s="226"/>
      <c r="B40" s="226" t="s">
        <v>177</v>
      </c>
      <c r="C40" s="1020"/>
      <c r="D40" s="147">
        <f>'таблица (всего)'!D110</f>
        <v>59794600</v>
      </c>
      <c r="E40" s="147">
        <f>'таблица (всего)'!E110</f>
        <v>63755300</v>
      </c>
      <c r="F40" s="147">
        <f>'таблица (всего)'!F110</f>
        <v>64060542</v>
      </c>
      <c r="G40" s="147">
        <f>'таблица (всего)'!G110</f>
        <v>133157813.2</v>
      </c>
      <c r="H40" s="147">
        <f>'таблица (всего)'!H110</f>
        <v>133419449.2</v>
      </c>
      <c r="I40" s="147">
        <f>'таблица (всего)'!I110</f>
        <v>132850967.16</v>
      </c>
      <c r="J40" s="147">
        <f>'таблица (всего)'!J110</f>
        <v>132850967.16</v>
      </c>
    </row>
    <row r="41" spans="1:10" x14ac:dyDescent="0.25">
      <c r="A41" s="226"/>
      <c r="B41" s="226" t="s">
        <v>178</v>
      </c>
      <c r="C41" s="1020"/>
      <c r="D41" s="239" t="s">
        <v>227</v>
      </c>
      <c r="E41" s="239" t="s">
        <v>227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</row>
    <row r="42" spans="1:10" ht="216.75" x14ac:dyDescent="0.25">
      <c r="A42" s="240" t="s">
        <v>237</v>
      </c>
      <c r="B42" s="229" t="str">
        <f>'таблица (всего)'!C111</f>
        <v>Обеспечение больных артериальной гипертонией с 3 - 4 степенью риска осложнений, состоящих на диспансерном учете, не имеющих права на получение мер социальной поддержки по обеспечению лекарственными препаратами по данному заболеванию, в том числе в виде денежных компенсаций, в соответствии с федеральным законодательством, из числа социально не защищенных категорий граждан и работников, подлежащих дополнительной диспансеризации в рамках реализации приоритетного национального проекта в сфере здравоохранения, бесплатным необходимым минимумом гипотензивных лекарственных препаратов</v>
      </c>
      <c r="C42" s="226" t="s">
        <v>180</v>
      </c>
      <c r="D42" s="147">
        <f>D43</f>
        <v>793500</v>
      </c>
      <c r="E42" s="147">
        <f t="shared" ref="E42:J43" si="12">E43</f>
        <v>5000</v>
      </c>
      <c r="F42" s="147">
        <f t="shared" si="12"/>
        <v>5000</v>
      </c>
      <c r="G42" s="147">
        <f t="shared" si="12"/>
        <v>0</v>
      </c>
      <c r="H42" s="147">
        <f t="shared" si="12"/>
        <v>0</v>
      </c>
      <c r="I42" s="147">
        <f t="shared" si="12"/>
        <v>0</v>
      </c>
      <c r="J42" s="147">
        <f t="shared" si="12"/>
        <v>0</v>
      </c>
    </row>
    <row r="43" spans="1:10" x14ac:dyDescent="0.25">
      <c r="A43" s="226"/>
      <c r="B43" s="226" t="s">
        <v>225</v>
      </c>
      <c r="C43" s="1020"/>
      <c r="D43" s="147">
        <f>D44</f>
        <v>793500</v>
      </c>
      <c r="E43" s="147">
        <f t="shared" si="12"/>
        <v>5000</v>
      </c>
      <c r="F43" s="147">
        <f t="shared" si="12"/>
        <v>5000</v>
      </c>
      <c r="G43" s="147">
        <f t="shared" si="12"/>
        <v>0</v>
      </c>
      <c r="H43" s="147">
        <f t="shared" si="12"/>
        <v>0</v>
      </c>
      <c r="I43" s="147">
        <f t="shared" si="12"/>
        <v>0</v>
      </c>
      <c r="J43" s="147">
        <f t="shared" si="12"/>
        <v>0</v>
      </c>
    </row>
    <row r="44" spans="1:10" x14ac:dyDescent="0.25">
      <c r="A44" s="226"/>
      <c r="B44" s="226" t="s">
        <v>177</v>
      </c>
      <c r="C44" s="1020"/>
      <c r="D44" s="147">
        <f>'таблица (всего)'!D111</f>
        <v>793500</v>
      </c>
      <c r="E44" s="147">
        <f>'таблица (всего)'!E111</f>
        <v>5000</v>
      </c>
      <c r="F44" s="147">
        <f>'таблица (всего)'!F111</f>
        <v>5000</v>
      </c>
      <c r="G44" s="147">
        <f>'таблица (всего)'!G111</f>
        <v>0</v>
      </c>
      <c r="H44" s="147">
        <f>'таблица (всего)'!H111</f>
        <v>0</v>
      </c>
      <c r="I44" s="147">
        <f>'таблица (всего)'!I111</f>
        <v>0</v>
      </c>
      <c r="J44" s="147">
        <f>'таблица (всего)'!J111</f>
        <v>0</v>
      </c>
    </row>
    <row r="45" spans="1:10" x14ac:dyDescent="0.25">
      <c r="A45" s="226"/>
      <c r="B45" s="226" t="s">
        <v>178</v>
      </c>
      <c r="C45" s="1020"/>
      <c r="D45" s="239" t="s">
        <v>227</v>
      </c>
      <c r="E45" s="239" t="s">
        <v>227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</row>
    <row r="46" spans="1:10" ht="89.25" x14ac:dyDescent="0.25">
      <c r="A46" s="240" t="s">
        <v>260</v>
      </c>
      <c r="B46" s="229" t="str">
        <f>'таблица (всего)'!C112</f>
        <v>Обеспечение детей первых трех лет жизни, страдающих болезнями мочеполовой системы, болезнями органов пищеварения, бронхиальной астмой, болезнями органов дыхания, болезнями нервной системы, бесплатными лекарственными препаратами</v>
      </c>
      <c r="C46" s="226" t="s">
        <v>180</v>
      </c>
      <c r="D46" s="147">
        <f>D47</f>
        <v>5142700</v>
      </c>
      <c r="E46" s="147">
        <f t="shared" ref="E46:J47" si="13">E47</f>
        <v>2442883.7000000002</v>
      </c>
      <c r="F46" s="147">
        <f t="shared" si="13"/>
        <v>2442883.7200000002</v>
      </c>
      <c r="G46" s="147">
        <f t="shared" si="13"/>
        <v>5000000</v>
      </c>
      <c r="H46" s="147">
        <f t="shared" si="13"/>
        <v>5000000</v>
      </c>
      <c r="I46" s="147">
        <f t="shared" si="13"/>
        <v>5000000</v>
      </c>
      <c r="J46" s="147">
        <f t="shared" si="13"/>
        <v>5000000</v>
      </c>
    </row>
    <row r="47" spans="1:10" x14ac:dyDescent="0.25">
      <c r="A47" s="226"/>
      <c r="B47" s="226" t="s">
        <v>225</v>
      </c>
      <c r="C47" s="1020"/>
      <c r="D47" s="147">
        <f>D48</f>
        <v>5142700</v>
      </c>
      <c r="E47" s="147">
        <f t="shared" si="13"/>
        <v>2442883.7000000002</v>
      </c>
      <c r="F47" s="147">
        <f t="shared" si="13"/>
        <v>2442883.7200000002</v>
      </c>
      <c r="G47" s="147">
        <f t="shared" si="13"/>
        <v>5000000</v>
      </c>
      <c r="H47" s="147">
        <f t="shared" si="13"/>
        <v>5000000</v>
      </c>
      <c r="I47" s="147">
        <f t="shared" si="13"/>
        <v>5000000</v>
      </c>
      <c r="J47" s="147">
        <f t="shared" si="13"/>
        <v>5000000</v>
      </c>
    </row>
    <row r="48" spans="1:10" x14ac:dyDescent="0.25">
      <c r="A48" s="226"/>
      <c r="B48" s="226" t="s">
        <v>177</v>
      </c>
      <c r="C48" s="1020"/>
      <c r="D48" s="147">
        <f>'таблица (всего)'!D112</f>
        <v>5142700</v>
      </c>
      <c r="E48" s="147">
        <f>'таблица (всего)'!E112</f>
        <v>2442883.7000000002</v>
      </c>
      <c r="F48" s="147">
        <f>'таблица (всего)'!F112</f>
        <v>2442883.7200000002</v>
      </c>
      <c r="G48" s="147">
        <f>'таблица (всего)'!G112</f>
        <v>5000000</v>
      </c>
      <c r="H48" s="147">
        <f>'таблица (всего)'!H112</f>
        <v>5000000</v>
      </c>
      <c r="I48" s="147">
        <f>'таблица (всего)'!I112</f>
        <v>5000000</v>
      </c>
      <c r="J48" s="147">
        <f>'таблица (всего)'!J112</f>
        <v>5000000</v>
      </c>
    </row>
    <row r="49" spans="1:10" x14ac:dyDescent="0.25">
      <c r="A49" s="226"/>
      <c r="B49" s="226" t="s">
        <v>178</v>
      </c>
      <c r="C49" s="1020"/>
      <c r="D49" s="239" t="s">
        <v>227</v>
      </c>
      <c r="E49" s="239" t="s">
        <v>227</v>
      </c>
      <c r="F49" s="147">
        <v>0</v>
      </c>
      <c r="G49" s="147">
        <v>0</v>
      </c>
      <c r="H49" s="147">
        <v>0</v>
      </c>
      <c r="I49" s="147">
        <v>0</v>
      </c>
      <c r="J49" s="147">
        <v>0</v>
      </c>
    </row>
    <row r="50" spans="1:10" ht="165.75" x14ac:dyDescent="0.25">
      <c r="A50" s="240" t="s">
        <v>261</v>
      </c>
      <c r="B50" s="229" t="str">
        <f>'таблица (всего)'!C113</f>
        <v>Обеспечение детей с рождения до 18 лет, страдающих фенилкетонурией, галактоземией, состоящих на диспансерном учете, не являющихся детьми-инвалидами и не имеющих права на получение мер социальной поддержки по обеспечению лекарственными препаратами по данным заболеваниям, в том числе в виде денежных компенсаций, в соответствии с федеральным законодательством, бесплатным лечебным питанием (заместительной терапией)</v>
      </c>
      <c r="C50" s="226" t="s">
        <v>180</v>
      </c>
      <c r="D50" s="147">
        <f>D51</f>
        <v>6434900</v>
      </c>
      <c r="E50" s="147">
        <f t="shared" ref="E50:J51" si="14">E51</f>
        <v>6754692.7699999996</v>
      </c>
      <c r="F50" s="147">
        <f t="shared" si="14"/>
        <v>10057024.93</v>
      </c>
      <c r="G50" s="147">
        <f t="shared" si="14"/>
        <v>9307143.4199999999</v>
      </c>
      <c r="H50" s="147">
        <f t="shared" si="14"/>
        <v>9307143.4199999999</v>
      </c>
      <c r="I50" s="147">
        <f t="shared" si="14"/>
        <v>9307143.4199999999</v>
      </c>
      <c r="J50" s="147">
        <f t="shared" si="14"/>
        <v>9307143.4199999999</v>
      </c>
    </row>
    <row r="51" spans="1:10" x14ac:dyDescent="0.25">
      <c r="A51" s="226"/>
      <c r="B51" s="226" t="s">
        <v>225</v>
      </c>
      <c r="C51" s="1020"/>
      <c r="D51" s="147">
        <f>D52</f>
        <v>6434900</v>
      </c>
      <c r="E51" s="147">
        <f t="shared" si="14"/>
        <v>6754692.7699999996</v>
      </c>
      <c r="F51" s="147">
        <f t="shared" si="14"/>
        <v>10057024.93</v>
      </c>
      <c r="G51" s="147">
        <f t="shared" si="14"/>
        <v>9307143.4199999999</v>
      </c>
      <c r="H51" s="147">
        <f t="shared" si="14"/>
        <v>9307143.4199999999</v>
      </c>
      <c r="I51" s="147">
        <f t="shared" si="14"/>
        <v>9307143.4199999999</v>
      </c>
      <c r="J51" s="147">
        <f t="shared" si="14"/>
        <v>9307143.4199999999</v>
      </c>
    </row>
    <row r="52" spans="1:10" x14ac:dyDescent="0.25">
      <c r="A52" s="226"/>
      <c r="B52" s="226" t="s">
        <v>177</v>
      </c>
      <c r="C52" s="1020"/>
      <c r="D52" s="147">
        <f>'таблица (всего)'!D113</f>
        <v>6434900</v>
      </c>
      <c r="E52" s="147">
        <f>'таблица (всего)'!E113</f>
        <v>6754692.7699999996</v>
      </c>
      <c r="F52" s="147">
        <f>'таблица (всего)'!F113</f>
        <v>10057024.93</v>
      </c>
      <c r="G52" s="147">
        <f>'таблица (всего)'!G113</f>
        <v>9307143.4199999999</v>
      </c>
      <c r="H52" s="147">
        <f>'таблица (всего)'!H113</f>
        <v>9307143.4199999999</v>
      </c>
      <c r="I52" s="147">
        <f>'таблица (всего)'!I113</f>
        <v>9307143.4199999999</v>
      </c>
      <c r="J52" s="147">
        <f>'таблица (всего)'!J113</f>
        <v>9307143.4199999999</v>
      </c>
    </row>
    <row r="53" spans="1:10" x14ac:dyDescent="0.25">
      <c r="A53" s="226"/>
      <c r="B53" s="226" t="s">
        <v>178</v>
      </c>
      <c r="C53" s="1020"/>
      <c r="D53" s="239" t="s">
        <v>227</v>
      </c>
      <c r="E53" s="239" t="s">
        <v>227</v>
      </c>
      <c r="F53" s="147">
        <v>0</v>
      </c>
      <c r="G53" s="147">
        <v>0</v>
      </c>
      <c r="H53" s="147">
        <v>0</v>
      </c>
      <c r="I53" s="147">
        <v>0</v>
      </c>
      <c r="J53" s="147">
        <v>0</v>
      </c>
    </row>
    <row r="54" spans="1:10" ht="76.5" x14ac:dyDescent="0.25">
      <c r="A54" s="226" t="s">
        <v>231</v>
      </c>
      <c r="B54" s="229" t="str">
        <f>'таблица (всего)'!C114</f>
        <v>«Меры социальной поддержки медицинских и иных работников учреждений здравоохранения Ивановской области, непосредственно участвующих в оказании противотуберкулезной помощи»</v>
      </c>
      <c r="C54" s="226" t="s">
        <v>180</v>
      </c>
      <c r="D54" s="147">
        <f>D55</f>
        <v>60000</v>
      </c>
      <c r="E54" s="147">
        <f t="shared" ref="E54:J55" si="15">E55</f>
        <v>60000</v>
      </c>
      <c r="F54" s="147">
        <f t="shared" si="15"/>
        <v>60000</v>
      </c>
      <c r="G54" s="147">
        <f t="shared" si="15"/>
        <v>60000</v>
      </c>
      <c r="H54" s="147">
        <f t="shared" si="15"/>
        <v>60000</v>
      </c>
      <c r="I54" s="147">
        <f t="shared" si="15"/>
        <v>60000</v>
      </c>
      <c r="J54" s="147">
        <f t="shared" si="15"/>
        <v>60000</v>
      </c>
    </row>
    <row r="55" spans="1:10" x14ac:dyDescent="0.25">
      <c r="A55" s="226"/>
      <c r="B55" s="226" t="s">
        <v>225</v>
      </c>
      <c r="C55" s="1020"/>
      <c r="D55" s="147">
        <f>D56</f>
        <v>60000</v>
      </c>
      <c r="E55" s="147">
        <f t="shared" si="15"/>
        <v>60000</v>
      </c>
      <c r="F55" s="147">
        <f t="shared" si="15"/>
        <v>60000</v>
      </c>
      <c r="G55" s="147">
        <f t="shared" si="15"/>
        <v>60000</v>
      </c>
      <c r="H55" s="147">
        <f t="shared" si="15"/>
        <v>60000</v>
      </c>
      <c r="I55" s="147">
        <f t="shared" si="15"/>
        <v>60000</v>
      </c>
      <c r="J55" s="147">
        <f t="shared" si="15"/>
        <v>60000</v>
      </c>
    </row>
    <row r="56" spans="1:10" x14ac:dyDescent="0.25">
      <c r="A56" s="226"/>
      <c r="B56" s="226" t="s">
        <v>177</v>
      </c>
      <c r="C56" s="1020"/>
      <c r="D56" s="147">
        <f>D60</f>
        <v>60000</v>
      </c>
      <c r="E56" s="147">
        <f t="shared" ref="E56:J56" si="16">E60</f>
        <v>60000</v>
      </c>
      <c r="F56" s="147">
        <f t="shared" si="16"/>
        <v>60000</v>
      </c>
      <c r="G56" s="147">
        <f t="shared" si="16"/>
        <v>60000</v>
      </c>
      <c r="H56" s="147">
        <f t="shared" si="16"/>
        <v>60000</v>
      </c>
      <c r="I56" s="147">
        <f t="shared" si="16"/>
        <v>60000</v>
      </c>
      <c r="J56" s="147">
        <f t="shared" si="16"/>
        <v>60000</v>
      </c>
    </row>
    <row r="57" spans="1:10" x14ac:dyDescent="0.25">
      <c r="A57" s="226"/>
      <c r="B57" s="226" t="s">
        <v>178</v>
      </c>
      <c r="C57" s="1020"/>
      <c r="D57" s="239" t="s">
        <v>227</v>
      </c>
      <c r="E57" s="239" t="s">
        <v>227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</row>
    <row r="58" spans="1:10" ht="76.5" x14ac:dyDescent="0.25">
      <c r="A58" s="240" t="s">
        <v>238</v>
      </c>
      <c r="B58" s="229" t="str">
        <f>'таблица (всего)'!C115</f>
        <v>Выплаты однократного выходного пособия при увольнении в связи с выходом на пенсию медицинским и иным работникам, непосредственно участвующим в оказании противотуберкулезной помощи</v>
      </c>
      <c r="C58" s="226" t="s">
        <v>180</v>
      </c>
      <c r="D58" s="147">
        <f>D59</f>
        <v>60000</v>
      </c>
      <c r="E58" s="147">
        <f t="shared" ref="E58:J59" si="17">E59</f>
        <v>60000</v>
      </c>
      <c r="F58" s="147">
        <f t="shared" si="17"/>
        <v>60000</v>
      </c>
      <c r="G58" s="147">
        <f t="shared" si="17"/>
        <v>60000</v>
      </c>
      <c r="H58" s="147">
        <f t="shared" si="17"/>
        <v>60000</v>
      </c>
      <c r="I58" s="147">
        <f t="shared" si="17"/>
        <v>60000</v>
      </c>
      <c r="J58" s="147">
        <f t="shared" si="17"/>
        <v>60000</v>
      </c>
    </row>
    <row r="59" spans="1:10" x14ac:dyDescent="0.25">
      <c r="A59" s="226"/>
      <c r="B59" s="226" t="s">
        <v>225</v>
      </c>
      <c r="C59" s="1020"/>
      <c r="D59" s="147">
        <f>D60</f>
        <v>60000</v>
      </c>
      <c r="E59" s="147">
        <f t="shared" si="17"/>
        <v>60000</v>
      </c>
      <c r="F59" s="147">
        <f t="shared" si="17"/>
        <v>60000</v>
      </c>
      <c r="G59" s="147">
        <f t="shared" si="17"/>
        <v>60000</v>
      </c>
      <c r="H59" s="147">
        <f t="shared" si="17"/>
        <v>60000</v>
      </c>
      <c r="I59" s="147">
        <f t="shared" si="17"/>
        <v>60000</v>
      </c>
      <c r="J59" s="147">
        <f t="shared" si="17"/>
        <v>60000</v>
      </c>
    </row>
    <row r="60" spans="1:10" x14ac:dyDescent="0.25">
      <c r="A60" s="226"/>
      <c r="B60" s="226" t="s">
        <v>177</v>
      </c>
      <c r="C60" s="1020"/>
      <c r="D60" s="147">
        <f>'таблица (всего)'!D115</f>
        <v>60000</v>
      </c>
      <c r="E60" s="147">
        <f>'таблица (всего)'!E115</f>
        <v>60000</v>
      </c>
      <c r="F60" s="147">
        <f>'таблица (всего)'!F115</f>
        <v>60000</v>
      </c>
      <c r="G60" s="147">
        <f>'таблица (всего)'!G115</f>
        <v>60000</v>
      </c>
      <c r="H60" s="147">
        <f>'таблица (всего)'!H115</f>
        <v>60000</v>
      </c>
      <c r="I60" s="147">
        <f>'таблица (всего)'!I115</f>
        <v>60000</v>
      </c>
      <c r="J60" s="147">
        <f>'таблица (всего)'!J115</f>
        <v>60000</v>
      </c>
    </row>
    <row r="61" spans="1:10" x14ac:dyDescent="0.25">
      <c r="A61" s="226"/>
      <c r="B61" s="226" t="s">
        <v>178</v>
      </c>
      <c r="C61" s="1020"/>
      <c r="D61" s="239" t="s">
        <v>227</v>
      </c>
      <c r="E61" s="239" t="s">
        <v>227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</row>
  </sheetData>
  <mergeCells count="17">
    <mergeCell ref="C51:C53"/>
    <mergeCell ref="C55:C57"/>
    <mergeCell ref="C59:C61"/>
    <mergeCell ref="C27:C29"/>
    <mergeCell ref="C31:C33"/>
    <mergeCell ref="C35:C37"/>
    <mergeCell ref="C39:C41"/>
    <mergeCell ref="C43:C45"/>
    <mergeCell ref="C47:C49"/>
    <mergeCell ref="C19:C21"/>
    <mergeCell ref="C23:C25"/>
    <mergeCell ref="C15:C17"/>
    <mergeCell ref="I1:J1"/>
    <mergeCell ref="A2:J2"/>
    <mergeCell ref="A3:J3"/>
    <mergeCell ref="C7:C9"/>
    <mergeCell ref="C11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7"/>
  <sheetViews>
    <sheetView zoomScale="90" zoomScaleNormal="90" workbookViewId="0">
      <selection activeCell="H26" sqref="H26"/>
    </sheetView>
  </sheetViews>
  <sheetFormatPr defaultRowHeight="15" x14ac:dyDescent="0.25"/>
  <cols>
    <col min="1" max="1" width="5.140625" customWidth="1"/>
    <col min="2" max="2" width="36" customWidth="1"/>
    <col min="3" max="3" width="15.28515625" customWidth="1"/>
    <col min="4" max="5" width="18.5703125" hidden="1" customWidth="1"/>
    <col min="6" max="10" width="18.5703125" customWidth="1"/>
  </cols>
  <sheetData>
    <row r="1" spans="1:17" ht="75.75" customHeight="1" x14ac:dyDescent="0.25">
      <c r="A1" s="232"/>
      <c r="B1" s="219"/>
      <c r="C1" s="232"/>
      <c r="D1" s="235"/>
      <c r="E1" s="235"/>
      <c r="F1" s="235"/>
      <c r="G1" s="236"/>
      <c r="H1" s="236"/>
      <c r="I1" s="1011" t="s">
        <v>264</v>
      </c>
      <c r="J1" s="1011"/>
    </row>
    <row r="2" spans="1:17" ht="18.75" x14ac:dyDescent="0.25">
      <c r="A2" s="1012" t="s">
        <v>265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24.75" customHeight="1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customHeight="1" x14ac:dyDescent="0.25">
      <c r="A4" s="233"/>
      <c r="B4" s="233"/>
      <c r="C4" s="233"/>
      <c r="D4" s="233"/>
      <c r="E4" s="233"/>
      <c r="F4" s="233"/>
      <c r="G4" s="233"/>
      <c r="H4" s="233"/>
      <c r="I4" s="233"/>
      <c r="J4" s="79" t="s">
        <v>172</v>
      </c>
    </row>
    <row r="5" spans="1:17" ht="25.5" x14ac:dyDescent="0.25">
      <c r="A5" s="223" t="s">
        <v>173</v>
      </c>
      <c r="B5" s="223" t="s">
        <v>266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5" t="s">
        <v>224</v>
      </c>
      <c r="C6" s="225"/>
      <c r="D6" s="313">
        <f>D7</f>
        <v>2961964300</v>
      </c>
      <c r="E6" s="313">
        <f t="shared" ref="E6:J7" si="0">E7</f>
        <v>3997725000</v>
      </c>
      <c r="F6" s="313">
        <f t="shared" si="0"/>
        <v>3894508000</v>
      </c>
      <c r="G6" s="313">
        <f t="shared" si="0"/>
        <v>0</v>
      </c>
      <c r="H6" s="313">
        <f t="shared" si="0"/>
        <v>0</v>
      </c>
      <c r="I6" s="313">
        <f t="shared" si="0"/>
        <v>0</v>
      </c>
      <c r="J6" s="313">
        <f t="shared" si="0"/>
        <v>0</v>
      </c>
      <c r="K6" s="222">
        <f>D6-'таблица (всего)'!D116</f>
        <v>0</v>
      </c>
      <c r="L6" s="222">
        <f>E6-'таблица (всего)'!E116</f>
        <v>0</v>
      </c>
      <c r="M6" s="222">
        <f>F6-'таблица (всего)'!F116</f>
        <v>0</v>
      </c>
      <c r="N6" s="222">
        <f>G6-'таблица (всего)'!G116</f>
        <v>-3893885500</v>
      </c>
      <c r="O6" s="222">
        <f>H6-'таблица (всего)'!H116</f>
        <v>-3893885500</v>
      </c>
      <c r="P6" s="222">
        <f>I6-'таблица (всего)'!I116</f>
        <v>-3893885500</v>
      </c>
      <c r="Q6" s="222">
        <f>J6-'таблица (всего)'!J116</f>
        <v>-3893885500</v>
      </c>
    </row>
    <row r="7" spans="1:17" x14ac:dyDescent="0.25">
      <c r="A7" s="225"/>
      <c r="B7" s="225" t="s">
        <v>225</v>
      </c>
      <c r="C7" s="1010"/>
      <c r="D7" s="313">
        <f>D8</f>
        <v>2961964300</v>
      </c>
      <c r="E7" s="313">
        <f t="shared" si="0"/>
        <v>3997725000</v>
      </c>
      <c r="F7" s="313">
        <f t="shared" si="0"/>
        <v>3894508000</v>
      </c>
      <c r="G7" s="313">
        <f t="shared" si="0"/>
        <v>0</v>
      </c>
      <c r="H7" s="313">
        <f t="shared" si="0"/>
        <v>0</v>
      </c>
      <c r="I7" s="313">
        <f t="shared" si="0"/>
        <v>0</v>
      </c>
      <c r="J7" s="313">
        <f t="shared" si="0"/>
        <v>0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5"/>
      <c r="B8" s="225" t="s">
        <v>177</v>
      </c>
      <c r="C8" s="1010"/>
      <c r="D8" s="313">
        <f>D12</f>
        <v>2961964300</v>
      </c>
      <c r="E8" s="313">
        <f t="shared" ref="E8:J8" si="1">E12</f>
        <v>3997725000</v>
      </c>
      <c r="F8" s="313">
        <f t="shared" si="1"/>
        <v>3894508000</v>
      </c>
      <c r="G8" s="313">
        <f t="shared" si="1"/>
        <v>0</v>
      </c>
      <c r="H8" s="313">
        <f t="shared" si="1"/>
        <v>0</v>
      </c>
      <c r="I8" s="313">
        <f t="shared" si="1"/>
        <v>0</v>
      </c>
      <c r="J8" s="313">
        <f t="shared" si="1"/>
        <v>0</v>
      </c>
      <c r="K8" s="222">
        <f>D8-'таблица (всего)'!D118</f>
        <v>0</v>
      </c>
      <c r="L8" s="222">
        <f>E8-'таблица (всего)'!E118</f>
        <v>0</v>
      </c>
      <c r="M8" s="222">
        <f>F8-'таблица (всего)'!F118</f>
        <v>0</v>
      </c>
      <c r="N8" s="222">
        <f>G8-'таблица (всего)'!G118</f>
        <v>-3893885500</v>
      </c>
      <c r="O8" s="222">
        <f>H8-'таблица (всего)'!H118</f>
        <v>-3893885500</v>
      </c>
      <c r="P8" s="222">
        <f>I8-'таблица (всего)'!I118</f>
        <v>-3893885500</v>
      </c>
      <c r="Q8" s="222">
        <f>J8-'таблица (всего)'!J118</f>
        <v>-3893885500</v>
      </c>
    </row>
    <row r="9" spans="1:17" x14ac:dyDescent="0.25">
      <c r="A9" s="225"/>
      <c r="B9" s="225" t="s">
        <v>178</v>
      </c>
      <c r="C9" s="1010"/>
      <c r="D9" s="313">
        <v>0</v>
      </c>
      <c r="E9" s="313">
        <v>0</v>
      </c>
      <c r="F9" s="313">
        <v>0</v>
      </c>
      <c r="G9" s="313">
        <v>0</v>
      </c>
      <c r="H9" s="313">
        <v>0</v>
      </c>
      <c r="I9" s="313">
        <v>0</v>
      </c>
      <c r="J9" s="313">
        <v>0</v>
      </c>
    </row>
    <row r="10" spans="1:17" ht="63.75" x14ac:dyDescent="0.25">
      <c r="A10" s="225" t="s">
        <v>228</v>
      </c>
      <c r="B10" s="248" t="str">
        <f>'таблица (всего)'!C119</f>
        <v>«Уплата страховых взносов на обязательное медицинское страхование неработающего населения в Федеральный фонд обязательного медицинского страхования»</v>
      </c>
      <c r="C10" s="225" t="s">
        <v>180</v>
      </c>
      <c r="D10" s="313">
        <f>D11</f>
        <v>2961964300</v>
      </c>
      <c r="E10" s="313">
        <f t="shared" ref="E10:J11" si="2">E11</f>
        <v>3997725000</v>
      </c>
      <c r="F10" s="313">
        <f t="shared" si="2"/>
        <v>3894508000</v>
      </c>
      <c r="G10" s="313">
        <f t="shared" si="2"/>
        <v>0</v>
      </c>
      <c r="H10" s="313">
        <f t="shared" si="2"/>
        <v>0</v>
      </c>
      <c r="I10" s="313">
        <f t="shared" si="2"/>
        <v>0</v>
      </c>
      <c r="J10" s="313">
        <f t="shared" si="2"/>
        <v>0</v>
      </c>
    </row>
    <row r="11" spans="1:17" x14ac:dyDescent="0.25">
      <c r="A11" s="225"/>
      <c r="B11" s="225" t="s">
        <v>225</v>
      </c>
      <c r="C11" s="1010"/>
      <c r="D11" s="313">
        <f>D12</f>
        <v>2961964300</v>
      </c>
      <c r="E11" s="313">
        <f t="shared" si="2"/>
        <v>3997725000</v>
      </c>
      <c r="F11" s="313">
        <f t="shared" si="2"/>
        <v>3894508000</v>
      </c>
      <c r="G11" s="313">
        <f t="shared" si="2"/>
        <v>0</v>
      </c>
      <c r="H11" s="313">
        <f t="shared" si="2"/>
        <v>0</v>
      </c>
      <c r="I11" s="313">
        <f t="shared" si="2"/>
        <v>0</v>
      </c>
      <c r="J11" s="313">
        <f t="shared" si="2"/>
        <v>0</v>
      </c>
    </row>
    <row r="12" spans="1:17" x14ac:dyDescent="0.25">
      <c r="A12" s="225"/>
      <c r="B12" s="225" t="s">
        <v>177</v>
      </c>
      <c r="C12" s="1010"/>
      <c r="D12" s="313">
        <f>D16</f>
        <v>2961964300</v>
      </c>
      <c r="E12" s="313">
        <f t="shared" ref="E12:J12" si="3">E16</f>
        <v>3997725000</v>
      </c>
      <c r="F12" s="313">
        <f t="shared" si="3"/>
        <v>3894508000</v>
      </c>
      <c r="G12" s="313">
        <f t="shared" si="3"/>
        <v>0</v>
      </c>
      <c r="H12" s="313">
        <f t="shared" si="3"/>
        <v>0</v>
      </c>
      <c r="I12" s="313">
        <f t="shared" si="3"/>
        <v>0</v>
      </c>
      <c r="J12" s="313">
        <f t="shared" si="3"/>
        <v>0</v>
      </c>
    </row>
    <row r="13" spans="1:17" x14ac:dyDescent="0.25">
      <c r="A13" s="225"/>
      <c r="B13" s="225" t="s">
        <v>178</v>
      </c>
      <c r="C13" s="1010"/>
      <c r="D13" s="313">
        <v>0</v>
      </c>
      <c r="E13" s="313">
        <v>0</v>
      </c>
      <c r="F13" s="313">
        <v>0</v>
      </c>
      <c r="G13" s="313">
        <v>0</v>
      </c>
      <c r="H13" s="313">
        <v>0</v>
      </c>
      <c r="I13" s="313">
        <v>0</v>
      </c>
      <c r="J13" s="313">
        <v>0</v>
      </c>
    </row>
    <row r="14" spans="1:17" ht="63.75" x14ac:dyDescent="0.25">
      <c r="A14" s="230" t="s">
        <v>234</v>
      </c>
      <c r="B14" s="248" t="str">
        <f>'таблица (всего)'!C120</f>
        <v>Иной межбюджетный трансферт бюджету Федерального фонда обязательного медицинского страхования на обязательное медицинское страхование неработающего населения</v>
      </c>
      <c r="C14" s="225" t="s">
        <v>180</v>
      </c>
      <c r="D14" s="313">
        <f>D15</f>
        <v>2961964300</v>
      </c>
      <c r="E14" s="313">
        <f t="shared" ref="E14:J15" si="4">E15</f>
        <v>3997725000</v>
      </c>
      <c r="F14" s="313">
        <f t="shared" si="4"/>
        <v>3894508000</v>
      </c>
      <c r="G14" s="313">
        <f t="shared" si="4"/>
        <v>0</v>
      </c>
      <c r="H14" s="313">
        <f t="shared" si="4"/>
        <v>0</v>
      </c>
      <c r="I14" s="313">
        <f t="shared" si="4"/>
        <v>0</v>
      </c>
      <c r="J14" s="313">
        <f t="shared" si="4"/>
        <v>0</v>
      </c>
    </row>
    <row r="15" spans="1:17" x14ac:dyDescent="0.25">
      <c r="A15" s="225"/>
      <c r="B15" s="225" t="s">
        <v>225</v>
      </c>
      <c r="C15" s="1010"/>
      <c r="D15" s="313">
        <f>D16</f>
        <v>2961964300</v>
      </c>
      <c r="E15" s="313">
        <f t="shared" si="4"/>
        <v>3997725000</v>
      </c>
      <c r="F15" s="313">
        <f t="shared" si="4"/>
        <v>3894508000</v>
      </c>
      <c r="G15" s="313">
        <f t="shared" si="4"/>
        <v>0</v>
      </c>
      <c r="H15" s="313">
        <f t="shared" si="4"/>
        <v>0</v>
      </c>
      <c r="I15" s="313">
        <f t="shared" si="4"/>
        <v>0</v>
      </c>
      <c r="J15" s="313">
        <f t="shared" si="4"/>
        <v>0</v>
      </c>
    </row>
    <row r="16" spans="1:17" x14ac:dyDescent="0.25">
      <c r="A16" s="225"/>
      <c r="B16" s="225" t="s">
        <v>177</v>
      </c>
      <c r="C16" s="1010"/>
      <c r="D16" s="313">
        <f>'таблица (всего)'!D120</f>
        <v>2961964300</v>
      </c>
      <c r="E16" s="313">
        <f>'таблица (всего)'!E120</f>
        <v>3997725000</v>
      </c>
      <c r="F16" s="313">
        <f>'таблица (всего)'!F120</f>
        <v>3894508000</v>
      </c>
      <c r="G16" s="313">
        <f>'таблица (всего)'!G120</f>
        <v>0</v>
      </c>
      <c r="H16" s="313">
        <f>'таблица (всего)'!H120</f>
        <v>0</v>
      </c>
      <c r="I16" s="313">
        <f>'таблица (всего)'!I120</f>
        <v>0</v>
      </c>
      <c r="J16" s="313">
        <f>'таблица (всего)'!J120</f>
        <v>0</v>
      </c>
    </row>
    <row r="17" spans="1:10" x14ac:dyDescent="0.25">
      <c r="A17" s="225"/>
      <c r="B17" s="225" t="s">
        <v>178</v>
      </c>
      <c r="C17" s="1010"/>
      <c r="D17" s="313">
        <v>0</v>
      </c>
      <c r="E17" s="313">
        <v>0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</row>
  </sheetData>
  <mergeCells count="6">
    <mergeCell ref="C15:C17"/>
    <mergeCell ref="I1:J1"/>
    <mergeCell ref="A2:J2"/>
    <mergeCell ref="A3:J3"/>
    <mergeCell ref="C7:C9"/>
    <mergeCell ref="C11:C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7"/>
  <sheetViews>
    <sheetView zoomScale="90" zoomScaleNormal="90" workbookViewId="0">
      <selection activeCell="M14" sqref="M14"/>
    </sheetView>
  </sheetViews>
  <sheetFormatPr defaultRowHeight="15" x14ac:dyDescent="0.25"/>
  <cols>
    <col min="1" max="1" width="4.28515625" style="236" customWidth="1"/>
    <col min="2" max="2" width="36" style="236" customWidth="1"/>
    <col min="3" max="3" width="15.28515625" style="236" customWidth="1"/>
    <col min="4" max="5" width="17.42578125" style="236" hidden="1" customWidth="1"/>
    <col min="6" max="10" width="17.42578125" style="236" customWidth="1"/>
  </cols>
  <sheetData>
    <row r="1" spans="1:17" ht="91.5" customHeight="1" x14ac:dyDescent="0.25">
      <c r="A1" s="232"/>
      <c r="B1" s="219"/>
      <c r="C1" s="232"/>
      <c r="D1" s="235"/>
      <c r="E1" s="235"/>
      <c r="F1" s="235"/>
      <c r="I1" s="1011" t="s">
        <v>267</v>
      </c>
      <c r="J1" s="1011"/>
    </row>
    <row r="2" spans="1:17" ht="18.75" x14ac:dyDescent="0.25">
      <c r="A2" s="1012" t="s">
        <v>268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33"/>
      <c r="C4" s="233"/>
      <c r="D4" s="233"/>
      <c r="E4" s="233"/>
      <c r="F4" s="233"/>
      <c r="G4" s="233"/>
      <c r="H4" s="233"/>
      <c r="I4" s="233"/>
      <c r="J4" s="79" t="s">
        <v>172</v>
      </c>
    </row>
    <row r="5" spans="1:17" ht="25.5" x14ac:dyDescent="0.25">
      <c r="A5" s="224" t="s">
        <v>173</v>
      </c>
      <c r="B5" s="224" t="s">
        <v>223</v>
      </c>
      <c r="C5" s="224" t="s">
        <v>175</v>
      </c>
      <c r="D5" s="224">
        <v>2014</v>
      </c>
      <c r="E5" s="224">
        <v>2015</v>
      </c>
      <c r="F5" s="224">
        <v>2016</v>
      </c>
      <c r="G5" s="224">
        <v>2017</v>
      </c>
      <c r="H5" s="224">
        <v>2018</v>
      </c>
      <c r="I5" s="224">
        <v>2019</v>
      </c>
      <c r="J5" s="224">
        <v>2020</v>
      </c>
    </row>
    <row r="6" spans="1:17" x14ac:dyDescent="0.25">
      <c r="A6" s="226"/>
      <c r="B6" s="226" t="s">
        <v>224</v>
      </c>
      <c r="C6" s="226"/>
      <c r="D6" s="291">
        <f>D7</f>
        <v>2084100</v>
      </c>
      <c r="E6" s="291">
        <f t="shared" ref="E6:J6" si="0">E7</f>
        <v>1875700</v>
      </c>
      <c r="F6" s="291">
        <f t="shared" si="0"/>
        <v>1875700</v>
      </c>
      <c r="G6" s="291">
        <f t="shared" si="0"/>
        <v>1980700</v>
      </c>
      <c r="H6" s="291">
        <f t="shared" si="0"/>
        <v>1980700</v>
      </c>
      <c r="I6" s="291">
        <f t="shared" si="0"/>
        <v>1980700</v>
      </c>
      <c r="J6" s="291">
        <f t="shared" si="0"/>
        <v>0</v>
      </c>
      <c r="K6" s="222">
        <f>D6-'таблица (всего)'!D122</f>
        <v>0</v>
      </c>
      <c r="L6" s="222">
        <f>E6-'таблица (всего)'!E122</f>
        <v>0</v>
      </c>
      <c r="M6" s="222">
        <f>F6-'таблица (всего)'!F122</f>
        <v>0</v>
      </c>
      <c r="N6" s="222">
        <f>G6-'таблица (всего)'!G122</f>
        <v>0</v>
      </c>
      <c r="O6" s="222">
        <f>H6-'таблица (всего)'!H122</f>
        <v>0</v>
      </c>
      <c r="P6" s="222">
        <f>I6-'таблица (всего)'!I122</f>
        <v>0</v>
      </c>
      <c r="Q6" s="222">
        <f>J6-'таблица (всего)'!J122</f>
        <v>0</v>
      </c>
    </row>
    <row r="7" spans="1:17" x14ac:dyDescent="0.25">
      <c r="A7" s="226"/>
      <c r="B7" s="226" t="s">
        <v>225</v>
      </c>
      <c r="C7" s="1020"/>
      <c r="D7" s="291">
        <f>D9</f>
        <v>2084100</v>
      </c>
      <c r="E7" s="291">
        <f t="shared" ref="E7:J7" si="1">E9</f>
        <v>1875700</v>
      </c>
      <c r="F7" s="291">
        <f t="shared" si="1"/>
        <v>1875700</v>
      </c>
      <c r="G7" s="291">
        <f t="shared" si="1"/>
        <v>1980700</v>
      </c>
      <c r="H7" s="291">
        <f t="shared" si="1"/>
        <v>1980700</v>
      </c>
      <c r="I7" s="291">
        <f t="shared" si="1"/>
        <v>1980700</v>
      </c>
      <c r="J7" s="291">
        <f t="shared" si="1"/>
        <v>0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6"/>
      <c r="B8" s="226" t="s">
        <v>177</v>
      </c>
      <c r="C8" s="1020"/>
      <c r="D8" s="291">
        <v>0</v>
      </c>
      <c r="E8" s="291">
        <v>0</v>
      </c>
      <c r="F8" s="291">
        <v>0</v>
      </c>
      <c r="G8" s="291">
        <v>0</v>
      </c>
      <c r="H8" s="291">
        <v>0</v>
      </c>
      <c r="I8" s="291">
        <v>0</v>
      </c>
      <c r="J8" s="291">
        <v>0</v>
      </c>
      <c r="K8" s="234"/>
      <c r="L8" s="234"/>
      <c r="M8" s="234"/>
      <c r="N8" s="234"/>
      <c r="O8" s="234"/>
      <c r="P8" s="234"/>
      <c r="Q8" s="234"/>
    </row>
    <row r="9" spans="1:17" x14ac:dyDescent="0.25">
      <c r="A9" s="226"/>
      <c r="B9" s="226" t="s">
        <v>178</v>
      </c>
      <c r="C9" s="1020"/>
      <c r="D9" s="291">
        <f>D13</f>
        <v>2084100</v>
      </c>
      <c r="E9" s="291">
        <f t="shared" ref="E9:J9" si="2">E13</f>
        <v>1875700</v>
      </c>
      <c r="F9" s="291">
        <f t="shared" si="2"/>
        <v>1875700</v>
      </c>
      <c r="G9" s="291">
        <f t="shared" si="2"/>
        <v>1980700</v>
      </c>
      <c r="H9" s="291">
        <f t="shared" si="2"/>
        <v>1980700</v>
      </c>
      <c r="I9" s="291">
        <f t="shared" si="2"/>
        <v>1980700</v>
      </c>
      <c r="J9" s="291">
        <f t="shared" si="2"/>
        <v>0</v>
      </c>
      <c r="K9" s="222">
        <f>D9-'таблица (всего)'!D126</f>
        <v>0</v>
      </c>
      <c r="L9" s="222">
        <f>E9-'таблица (всего)'!E126</f>
        <v>0</v>
      </c>
      <c r="M9" s="222">
        <f>F9-'таблица (всего)'!F126</f>
        <v>0</v>
      </c>
      <c r="N9" s="222">
        <f>G9-'таблица (всего)'!G126</f>
        <v>0</v>
      </c>
      <c r="O9" s="222">
        <f>H9-'таблица (всего)'!H126</f>
        <v>0</v>
      </c>
      <c r="P9" s="222">
        <f>I9-'таблица (всего)'!I126</f>
        <v>0</v>
      </c>
      <c r="Q9" s="222">
        <f>J9-'таблица (всего)'!J126</f>
        <v>0</v>
      </c>
    </row>
    <row r="10" spans="1:17" ht="63.75" x14ac:dyDescent="0.25">
      <c r="A10" s="226">
        <v>1</v>
      </c>
      <c r="B10" s="229" t="str">
        <f>'таблица (всего)'!C125</f>
        <v>«Осуществление полномочий Российской Федерации, переданных органам государственной власти субъектов Российской Федерации,  в сфере охраны здоровья»</v>
      </c>
      <c r="C10" s="226" t="s">
        <v>180</v>
      </c>
      <c r="D10" s="291">
        <f>D11</f>
        <v>2084100</v>
      </c>
      <c r="E10" s="291">
        <f t="shared" ref="E10:J10" si="3">E11</f>
        <v>1875700</v>
      </c>
      <c r="F10" s="291">
        <f t="shared" si="3"/>
        <v>1875700</v>
      </c>
      <c r="G10" s="291">
        <f t="shared" si="3"/>
        <v>1980700</v>
      </c>
      <c r="H10" s="291">
        <f t="shared" si="3"/>
        <v>1980700</v>
      </c>
      <c r="I10" s="291">
        <f t="shared" si="3"/>
        <v>1980700</v>
      </c>
      <c r="J10" s="291">
        <f t="shared" si="3"/>
        <v>0</v>
      </c>
    </row>
    <row r="11" spans="1:17" x14ac:dyDescent="0.25">
      <c r="A11" s="226"/>
      <c r="B11" s="226" t="s">
        <v>225</v>
      </c>
      <c r="C11" s="1020"/>
      <c r="D11" s="291">
        <f>D13</f>
        <v>2084100</v>
      </c>
      <c r="E11" s="291">
        <f t="shared" ref="E11:J11" si="4">E13</f>
        <v>1875700</v>
      </c>
      <c r="F11" s="291">
        <f t="shared" si="4"/>
        <v>1875700</v>
      </c>
      <c r="G11" s="291">
        <f t="shared" si="4"/>
        <v>1980700</v>
      </c>
      <c r="H11" s="291">
        <f t="shared" si="4"/>
        <v>1980700</v>
      </c>
      <c r="I11" s="291">
        <f t="shared" si="4"/>
        <v>1980700</v>
      </c>
      <c r="J11" s="291">
        <f t="shared" si="4"/>
        <v>0</v>
      </c>
    </row>
    <row r="12" spans="1:17" x14ac:dyDescent="0.25">
      <c r="A12" s="226"/>
      <c r="B12" s="226" t="s">
        <v>177</v>
      </c>
      <c r="C12" s="1020"/>
      <c r="D12" s="291">
        <v>0</v>
      </c>
      <c r="E12" s="291">
        <v>0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</row>
    <row r="13" spans="1:17" x14ac:dyDescent="0.25">
      <c r="A13" s="226"/>
      <c r="B13" s="226" t="s">
        <v>178</v>
      </c>
      <c r="C13" s="1020"/>
      <c r="D13" s="291">
        <f>D17</f>
        <v>2084100</v>
      </c>
      <c r="E13" s="291">
        <f t="shared" ref="E13:J13" si="5">E17</f>
        <v>1875700</v>
      </c>
      <c r="F13" s="291">
        <f t="shared" si="5"/>
        <v>1875700</v>
      </c>
      <c r="G13" s="291">
        <f t="shared" si="5"/>
        <v>1980700</v>
      </c>
      <c r="H13" s="291">
        <f t="shared" si="5"/>
        <v>1980700</v>
      </c>
      <c r="I13" s="291">
        <f t="shared" si="5"/>
        <v>1980700</v>
      </c>
      <c r="J13" s="291">
        <f t="shared" si="5"/>
        <v>0</v>
      </c>
    </row>
    <row r="14" spans="1:17" ht="102" x14ac:dyDescent="0.25">
      <c r="A14" s="240" t="s">
        <v>234</v>
      </c>
      <c r="B14" s="229" t="str">
        <f>'таблица (всего)'!C126</f>
        <v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«Об основах охраны здоровья граждан в Российской Федерации» полномочий Российской Федерации в сфере охраны здоровья</v>
      </c>
      <c r="C14" s="226" t="s">
        <v>180</v>
      </c>
      <c r="D14" s="291">
        <f>D15</f>
        <v>2084100</v>
      </c>
      <c r="E14" s="291">
        <f t="shared" ref="E14:J14" si="6">E15</f>
        <v>1875700</v>
      </c>
      <c r="F14" s="291">
        <f t="shared" si="6"/>
        <v>1875700</v>
      </c>
      <c r="G14" s="291">
        <f t="shared" si="6"/>
        <v>1980700</v>
      </c>
      <c r="H14" s="291">
        <f t="shared" si="6"/>
        <v>1980700</v>
      </c>
      <c r="I14" s="291">
        <f t="shared" si="6"/>
        <v>1980700</v>
      </c>
      <c r="J14" s="291">
        <f t="shared" si="6"/>
        <v>0</v>
      </c>
    </row>
    <row r="15" spans="1:17" x14ac:dyDescent="0.25">
      <c r="A15" s="226"/>
      <c r="B15" s="226" t="s">
        <v>225</v>
      </c>
      <c r="C15" s="1020"/>
      <c r="D15" s="291">
        <f>D17</f>
        <v>2084100</v>
      </c>
      <c r="E15" s="291">
        <f t="shared" ref="E15:J15" si="7">E17</f>
        <v>1875700</v>
      </c>
      <c r="F15" s="291">
        <f t="shared" si="7"/>
        <v>1875700</v>
      </c>
      <c r="G15" s="291">
        <f t="shared" si="7"/>
        <v>1980700</v>
      </c>
      <c r="H15" s="291">
        <f t="shared" si="7"/>
        <v>1980700</v>
      </c>
      <c r="I15" s="291">
        <f t="shared" si="7"/>
        <v>1980700</v>
      </c>
      <c r="J15" s="291">
        <f t="shared" si="7"/>
        <v>0</v>
      </c>
    </row>
    <row r="16" spans="1:17" x14ac:dyDescent="0.25">
      <c r="A16" s="226"/>
      <c r="B16" s="226" t="s">
        <v>177</v>
      </c>
      <c r="C16" s="1020"/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</row>
    <row r="17" spans="1:10" x14ac:dyDescent="0.25">
      <c r="A17" s="226"/>
      <c r="B17" s="226" t="s">
        <v>178</v>
      </c>
      <c r="C17" s="1020"/>
      <c r="D17" s="291">
        <f>'таблица (всего)'!D126</f>
        <v>2084100</v>
      </c>
      <c r="E17" s="291">
        <f>'таблица (всего)'!E126</f>
        <v>1875700</v>
      </c>
      <c r="F17" s="291">
        <f>'таблица (всего)'!F126</f>
        <v>1875700</v>
      </c>
      <c r="G17" s="291">
        <f>'таблица (всего)'!G126</f>
        <v>1980700</v>
      </c>
      <c r="H17" s="291">
        <f>'таблица (всего)'!H126</f>
        <v>1980700</v>
      </c>
      <c r="I17" s="291">
        <f>'таблица (всего)'!I126</f>
        <v>1980700</v>
      </c>
      <c r="J17" s="291">
        <f>'таблица (всего)'!J126</f>
        <v>0</v>
      </c>
    </row>
  </sheetData>
  <mergeCells count="6">
    <mergeCell ref="C15:C17"/>
    <mergeCell ref="I1:J1"/>
    <mergeCell ref="A2:J2"/>
    <mergeCell ref="A3:J3"/>
    <mergeCell ref="C7:C9"/>
    <mergeCell ref="C11:C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"/>
  <sheetViews>
    <sheetView zoomScale="90" zoomScaleNormal="90" workbookViewId="0">
      <selection activeCell="I48" sqref="I48"/>
    </sheetView>
  </sheetViews>
  <sheetFormatPr defaultRowHeight="15" x14ac:dyDescent="0.25"/>
  <cols>
    <col min="1" max="1" width="5.140625" style="236" customWidth="1"/>
    <col min="2" max="2" width="36" style="236" customWidth="1"/>
    <col min="3" max="3" width="15.28515625" style="236" customWidth="1"/>
    <col min="4" max="5" width="18.5703125" style="236" hidden="1" customWidth="1"/>
    <col min="6" max="10" width="18.5703125" style="236" customWidth="1"/>
  </cols>
  <sheetData>
    <row r="1" spans="1:17" ht="84.75" customHeight="1" x14ac:dyDescent="0.25">
      <c r="A1" s="232"/>
      <c r="B1" s="219"/>
      <c r="C1" s="232"/>
      <c r="D1" s="235"/>
      <c r="E1" s="235"/>
      <c r="F1" s="235"/>
      <c r="I1" s="1011" t="s">
        <v>270</v>
      </c>
      <c r="J1" s="1011"/>
    </row>
    <row r="2" spans="1:17" ht="18.75" x14ac:dyDescent="0.25">
      <c r="A2" s="1012" t="s">
        <v>269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33"/>
      <c r="C4" s="233"/>
      <c r="D4" s="233"/>
      <c r="E4" s="233"/>
      <c r="F4" s="233"/>
      <c r="G4" s="233"/>
      <c r="H4" s="233"/>
      <c r="I4" s="233"/>
      <c r="J4" s="79" t="s">
        <v>172</v>
      </c>
    </row>
    <row r="5" spans="1:17" ht="25.5" x14ac:dyDescent="0.25">
      <c r="A5" s="226" t="s">
        <v>173</v>
      </c>
      <c r="B5" s="246" t="s">
        <v>174</v>
      </c>
      <c r="C5" s="246" t="s">
        <v>175</v>
      </c>
      <c r="D5" s="249">
        <v>2014</v>
      </c>
      <c r="E5" s="249">
        <v>2015</v>
      </c>
      <c r="F5" s="249">
        <v>2016</v>
      </c>
      <c r="G5" s="249">
        <v>2017</v>
      </c>
      <c r="H5" s="249">
        <v>2018</v>
      </c>
      <c r="I5" s="249">
        <v>2019</v>
      </c>
      <c r="J5" s="249">
        <v>2020</v>
      </c>
    </row>
    <row r="6" spans="1:17" x14ac:dyDescent="0.25">
      <c r="A6" s="1021"/>
      <c r="B6" s="246" t="s">
        <v>224</v>
      </c>
      <c r="C6" s="246"/>
      <c r="D6" s="314">
        <f>D7</f>
        <v>8894300</v>
      </c>
      <c r="E6" s="314">
        <f t="shared" ref="E6:J6" si="0">E7</f>
        <v>11069675</v>
      </c>
      <c r="F6" s="314">
        <f t="shared" si="0"/>
        <v>9005190</v>
      </c>
      <c r="G6" s="314">
        <f t="shared" si="0"/>
        <v>8104671</v>
      </c>
      <c r="H6" s="314">
        <f t="shared" si="0"/>
        <v>8104671</v>
      </c>
      <c r="I6" s="314">
        <f t="shared" si="0"/>
        <v>8104671</v>
      </c>
      <c r="J6" s="314">
        <f t="shared" si="0"/>
        <v>8104671</v>
      </c>
      <c r="K6" s="222">
        <f>D6-'таблица (всего)'!D127</f>
        <v>0</v>
      </c>
      <c r="L6" s="222">
        <f>E6-'таблица (всего)'!E127</f>
        <v>0</v>
      </c>
      <c r="M6" s="222">
        <f>F6-'таблица (всего)'!F127</f>
        <v>0</v>
      </c>
      <c r="N6" s="222">
        <f>G6-'таблица (всего)'!G127</f>
        <v>0</v>
      </c>
      <c r="O6" s="222">
        <f>H6-'таблица (всего)'!H127</f>
        <v>0</v>
      </c>
      <c r="P6" s="222">
        <f>I6-'таблица (всего)'!I127</f>
        <v>0</v>
      </c>
      <c r="Q6" s="222">
        <f>J6-'таблица (всего)'!J127</f>
        <v>0</v>
      </c>
    </row>
    <row r="7" spans="1:17" x14ac:dyDescent="0.25">
      <c r="A7" s="1021"/>
      <c r="B7" s="246" t="s">
        <v>225</v>
      </c>
      <c r="C7" s="1021"/>
      <c r="D7" s="314">
        <f>D8+D9</f>
        <v>8894300</v>
      </c>
      <c r="E7" s="314">
        <f t="shared" ref="E7:J7" si="1">E8+E9</f>
        <v>11069675</v>
      </c>
      <c r="F7" s="314">
        <f t="shared" si="1"/>
        <v>9005190</v>
      </c>
      <c r="G7" s="314">
        <f t="shared" si="1"/>
        <v>8104671</v>
      </c>
      <c r="H7" s="314">
        <f t="shared" si="1"/>
        <v>8104671</v>
      </c>
      <c r="I7" s="314">
        <f t="shared" si="1"/>
        <v>8104671</v>
      </c>
      <c r="J7" s="314">
        <f t="shared" si="1"/>
        <v>8104671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1021"/>
      <c r="B8" s="246" t="s">
        <v>177</v>
      </c>
      <c r="C8" s="1021"/>
      <c r="D8" s="314">
        <f>D12</f>
        <v>444800</v>
      </c>
      <c r="E8" s="314">
        <f t="shared" ref="E8:J8" si="2">E12</f>
        <v>11069675</v>
      </c>
      <c r="F8" s="314">
        <f t="shared" si="2"/>
        <v>9005190</v>
      </c>
      <c r="G8" s="314">
        <f t="shared" si="2"/>
        <v>8104671</v>
      </c>
      <c r="H8" s="314">
        <f t="shared" si="2"/>
        <v>8104671</v>
      </c>
      <c r="I8" s="314">
        <f t="shared" si="2"/>
        <v>8104671</v>
      </c>
      <c r="J8" s="314">
        <f t="shared" si="2"/>
        <v>8104671</v>
      </c>
      <c r="K8" s="222">
        <f>D8-'таблица (всего)'!D129</f>
        <v>0</v>
      </c>
      <c r="L8" s="222">
        <f>E8-'таблица (всего)'!E129</f>
        <v>0</v>
      </c>
      <c r="M8" s="222">
        <f>F8-'таблица (всего)'!F129</f>
        <v>0</v>
      </c>
      <c r="N8" s="222">
        <f>G8-'таблица (всего)'!G129</f>
        <v>0</v>
      </c>
      <c r="O8" s="222">
        <f>H8-'таблица (всего)'!H129</f>
        <v>0</v>
      </c>
      <c r="P8" s="222">
        <f>I8-'таблица (всего)'!I129</f>
        <v>0</v>
      </c>
      <c r="Q8" s="222">
        <f>J8-'таблица (всего)'!J129</f>
        <v>0</v>
      </c>
    </row>
    <row r="9" spans="1:17" x14ac:dyDescent="0.25">
      <c r="A9" s="1021"/>
      <c r="B9" s="246" t="s">
        <v>178</v>
      </c>
      <c r="C9" s="1021"/>
      <c r="D9" s="314">
        <f>D13</f>
        <v>8449500</v>
      </c>
      <c r="E9" s="314">
        <f t="shared" ref="E9:J9" si="3">E13</f>
        <v>0</v>
      </c>
      <c r="F9" s="314">
        <f t="shared" si="3"/>
        <v>0</v>
      </c>
      <c r="G9" s="314">
        <f t="shared" si="3"/>
        <v>0</v>
      </c>
      <c r="H9" s="314">
        <f t="shared" si="3"/>
        <v>0</v>
      </c>
      <c r="I9" s="314">
        <f t="shared" si="3"/>
        <v>0</v>
      </c>
      <c r="J9" s="314">
        <f t="shared" si="3"/>
        <v>0</v>
      </c>
      <c r="K9" s="222">
        <f>D9-'таблица (всего)'!D128</f>
        <v>0</v>
      </c>
      <c r="L9" s="222">
        <f>E9-'таблица (всего)'!E128</f>
        <v>0</v>
      </c>
      <c r="M9" s="222">
        <f>F9-'таблица (всего)'!F128</f>
        <v>0</v>
      </c>
      <c r="N9" s="222">
        <f>G9-'таблица (всего)'!G128</f>
        <v>0</v>
      </c>
      <c r="O9" s="222">
        <f>H9-'таблица (всего)'!H128</f>
        <v>0</v>
      </c>
      <c r="P9" s="222">
        <f>I9-'таблица (всего)'!I128</f>
        <v>0</v>
      </c>
      <c r="Q9" s="222">
        <f>J9-'таблица (всего)'!J128</f>
        <v>0</v>
      </c>
    </row>
    <row r="10" spans="1:17" ht="51" x14ac:dyDescent="0.25">
      <c r="A10" s="246" t="s">
        <v>228</v>
      </c>
      <c r="B10" s="247" t="str">
        <f>'таблица (всего)'!C130</f>
        <v>«Создание системы раннего выявления и коррекции нарушений развития ребенка»</v>
      </c>
      <c r="C10" s="246" t="s">
        <v>255</v>
      </c>
      <c r="D10" s="314">
        <f>D11</f>
        <v>8894300</v>
      </c>
      <c r="E10" s="314">
        <f t="shared" ref="E10:J10" si="4">E11</f>
        <v>11069675</v>
      </c>
      <c r="F10" s="314">
        <f t="shared" si="4"/>
        <v>9005190</v>
      </c>
      <c r="G10" s="314">
        <f t="shared" si="4"/>
        <v>8104671</v>
      </c>
      <c r="H10" s="314">
        <f t="shared" si="4"/>
        <v>8104671</v>
      </c>
      <c r="I10" s="314">
        <f t="shared" si="4"/>
        <v>8104671</v>
      </c>
      <c r="J10" s="314">
        <f t="shared" si="4"/>
        <v>8104671</v>
      </c>
    </row>
    <row r="11" spans="1:17" x14ac:dyDescent="0.25">
      <c r="A11" s="246"/>
      <c r="B11" s="246" t="s">
        <v>225</v>
      </c>
      <c r="C11" s="246"/>
      <c r="D11" s="314">
        <f>D12+D13</f>
        <v>8894300</v>
      </c>
      <c r="E11" s="314">
        <f t="shared" ref="E11:J11" si="5">E12+E13</f>
        <v>11069675</v>
      </c>
      <c r="F11" s="314">
        <f t="shared" si="5"/>
        <v>9005190</v>
      </c>
      <c r="G11" s="314">
        <f t="shared" si="5"/>
        <v>8104671</v>
      </c>
      <c r="H11" s="314">
        <f t="shared" si="5"/>
        <v>8104671</v>
      </c>
      <c r="I11" s="314">
        <f t="shared" si="5"/>
        <v>8104671</v>
      </c>
      <c r="J11" s="314">
        <f t="shared" si="5"/>
        <v>8104671</v>
      </c>
    </row>
    <row r="12" spans="1:17" x14ac:dyDescent="0.25">
      <c r="A12" s="246"/>
      <c r="B12" s="246" t="s">
        <v>177</v>
      </c>
      <c r="C12" s="226"/>
      <c r="D12" s="314">
        <f t="shared" ref="D12:J12" si="6">D20+D28+D32+D36</f>
        <v>444800</v>
      </c>
      <c r="E12" s="314">
        <f t="shared" si="6"/>
        <v>11069675</v>
      </c>
      <c r="F12" s="314">
        <f t="shared" si="6"/>
        <v>9005190</v>
      </c>
      <c r="G12" s="314">
        <f t="shared" si="6"/>
        <v>8104671</v>
      </c>
      <c r="H12" s="314">
        <f t="shared" si="6"/>
        <v>8104671</v>
      </c>
      <c r="I12" s="314">
        <f t="shared" si="6"/>
        <v>8104671</v>
      </c>
      <c r="J12" s="314">
        <f t="shared" si="6"/>
        <v>8104671</v>
      </c>
    </row>
    <row r="13" spans="1:17" x14ac:dyDescent="0.25">
      <c r="A13" s="246"/>
      <c r="B13" s="246" t="s">
        <v>178</v>
      </c>
      <c r="C13" s="226"/>
      <c r="D13" s="314">
        <f t="shared" ref="D13:J13" si="7">D17+D25</f>
        <v>8449500</v>
      </c>
      <c r="E13" s="314">
        <f t="shared" si="7"/>
        <v>0</v>
      </c>
      <c r="F13" s="314">
        <f t="shared" si="7"/>
        <v>0</v>
      </c>
      <c r="G13" s="314">
        <f t="shared" si="7"/>
        <v>0</v>
      </c>
      <c r="H13" s="314">
        <f t="shared" si="7"/>
        <v>0</v>
      </c>
      <c r="I13" s="314">
        <f t="shared" si="7"/>
        <v>0</v>
      </c>
      <c r="J13" s="314">
        <f t="shared" si="7"/>
        <v>0</v>
      </c>
    </row>
    <row r="14" spans="1:17" ht="76.5" hidden="1" x14ac:dyDescent="0.25">
      <c r="A14" s="245" t="s">
        <v>234</v>
      </c>
      <c r="B14" s="246" t="str">
        <f>'таблица (всего)'!C131</f>
        <v xml:space="preserve">Закупка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
</v>
      </c>
      <c r="C14" s="246" t="s">
        <v>180</v>
      </c>
      <c r="D14" s="314">
        <f>D15</f>
        <v>3773700</v>
      </c>
      <c r="E14" s="314">
        <f t="shared" ref="E14:J14" si="8">E15</f>
        <v>0</v>
      </c>
      <c r="F14" s="314">
        <f t="shared" si="8"/>
        <v>0</v>
      </c>
      <c r="G14" s="314">
        <f t="shared" si="8"/>
        <v>0</v>
      </c>
      <c r="H14" s="314">
        <f t="shared" si="8"/>
        <v>0</v>
      </c>
      <c r="I14" s="314">
        <f t="shared" si="8"/>
        <v>0</v>
      </c>
      <c r="J14" s="314">
        <f t="shared" si="8"/>
        <v>0</v>
      </c>
    </row>
    <row r="15" spans="1:17" hidden="1" x14ac:dyDescent="0.25">
      <c r="A15" s="246"/>
      <c r="B15" s="246" t="s">
        <v>225</v>
      </c>
      <c r="C15" s="1021"/>
      <c r="D15" s="314">
        <f>D17</f>
        <v>3773700</v>
      </c>
      <c r="E15" s="314">
        <f t="shared" ref="E15:J15" si="9">E17</f>
        <v>0</v>
      </c>
      <c r="F15" s="314">
        <f t="shared" si="9"/>
        <v>0</v>
      </c>
      <c r="G15" s="314">
        <f t="shared" si="9"/>
        <v>0</v>
      </c>
      <c r="H15" s="314">
        <f t="shared" si="9"/>
        <v>0</v>
      </c>
      <c r="I15" s="314">
        <f t="shared" si="9"/>
        <v>0</v>
      </c>
      <c r="J15" s="314">
        <f t="shared" si="9"/>
        <v>0</v>
      </c>
    </row>
    <row r="16" spans="1:17" hidden="1" x14ac:dyDescent="0.25">
      <c r="A16" s="246"/>
      <c r="B16" s="246" t="s">
        <v>177</v>
      </c>
      <c r="C16" s="1021"/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0</v>
      </c>
      <c r="J16" s="314">
        <v>0</v>
      </c>
    </row>
    <row r="17" spans="1:10" hidden="1" x14ac:dyDescent="0.25">
      <c r="A17" s="246"/>
      <c r="B17" s="246" t="s">
        <v>178</v>
      </c>
      <c r="C17" s="1021"/>
      <c r="D17" s="314">
        <f>'таблица (всего)'!D131</f>
        <v>3773700</v>
      </c>
      <c r="E17" s="314">
        <f>'таблица (всего)'!E131</f>
        <v>0</v>
      </c>
      <c r="F17" s="314">
        <f>'таблица (всего)'!F131</f>
        <v>0</v>
      </c>
      <c r="G17" s="314">
        <f>'таблица (всего)'!G131</f>
        <v>0</v>
      </c>
      <c r="H17" s="314">
        <f>'таблица (всего)'!H131</f>
        <v>0</v>
      </c>
      <c r="I17" s="314">
        <f>'таблица (всего)'!I131</f>
        <v>0</v>
      </c>
      <c r="J17" s="314">
        <f>'таблица (всего)'!J131</f>
        <v>0</v>
      </c>
    </row>
    <row r="18" spans="1:10" ht="76.5" hidden="1" x14ac:dyDescent="0.25">
      <c r="A18" s="245" t="s">
        <v>235</v>
      </c>
      <c r="B18" s="246" t="str">
        <f>'таблица (всего)'!C132</f>
        <v xml:space="preserve">Закупка оборудования и расходных материалов для неонатального и аудиологического скрининга в учреждениях государственной системы здравоохранения Ивановской области
</v>
      </c>
      <c r="C18" s="246" t="s">
        <v>180</v>
      </c>
      <c r="D18" s="314">
        <f>D19</f>
        <v>198700</v>
      </c>
      <c r="E18" s="314">
        <f t="shared" ref="E18:J19" si="10">E19</f>
        <v>0</v>
      </c>
      <c r="F18" s="314">
        <f t="shared" si="10"/>
        <v>0</v>
      </c>
      <c r="G18" s="314">
        <f t="shared" si="10"/>
        <v>0</v>
      </c>
      <c r="H18" s="314">
        <f t="shared" si="10"/>
        <v>0</v>
      </c>
      <c r="I18" s="314">
        <f t="shared" si="10"/>
        <v>0</v>
      </c>
      <c r="J18" s="314">
        <f t="shared" si="10"/>
        <v>0</v>
      </c>
    </row>
    <row r="19" spans="1:10" hidden="1" x14ac:dyDescent="0.25">
      <c r="A19" s="246"/>
      <c r="B19" s="246" t="s">
        <v>225</v>
      </c>
      <c r="C19" s="1021"/>
      <c r="D19" s="314">
        <f>D20</f>
        <v>198700</v>
      </c>
      <c r="E19" s="314">
        <f t="shared" si="10"/>
        <v>0</v>
      </c>
      <c r="F19" s="314">
        <f t="shared" si="10"/>
        <v>0</v>
      </c>
      <c r="G19" s="314">
        <f t="shared" si="10"/>
        <v>0</v>
      </c>
      <c r="H19" s="314">
        <f t="shared" si="10"/>
        <v>0</v>
      </c>
      <c r="I19" s="314">
        <f t="shared" si="10"/>
        <v>0</v>
      </c>
      <c r="J19" s="314">
        <f t="shared" si="10"/>
        <v>0</v>
      </c>
    </row>
    <row r="20" spans="1:10" hidden="1" x14ac:dyDescent="0.25">
      <c r="A20" s="246"/>
      <c r="B20" s="246" t="s">
        <v>177</v>
      </c>
      <c r="C20" s="1021"/>
      <c r="D20" s="314">
        <f>'таблица (всего)'!D132</f>
        <v>198700</v>
      </c>
      <c r="E20" s="314">
        <f>'таблица (всего)'!E132</f>
        <v>0</v>
      </c>
      <c r="F20" s="314">
        <f>'таблица (всего)'!F132</f>
        <v>0</v>
      </c>
      <c r="G20" s="314">
        <f>'таблица (всего)'!G132</f>
        <v>0</v>
      </c>
      <c r="H20" s="314">
        <f>'таблица (всего)'!H132</f>
        <v>0</v>
      </c>
      <c r="I20" s="314">
        <f>'таблица (всего)'!I132</f>
        <v>0</v>
      </c>
      <c r="J20" s="314">
        <f>'таблица (всего)'!J132</f>
        <v>0</v>
      </c>
    </row>
    <row r="21" spans="1:10" hidden="1" x14ac:dyDescent="0.25">
      <c r="A21" s="246"/>
      <c r="B21" s="246" t="s">
        <v>178</v>
      </c>
      <c r="C21" s="1021"/>
      <c r="D21" s="314">
        <v>0</v>
      </c>
      <c r="E21" s="314">
        <v>0</v>
      </c>
      <c r="F21" s="314">
        <v>0</v>
      </c>
      <c r="G21" s="314">
        <v>0</v>
      </c>
      <c r="H21" s="314">
        <v>0</v>
      </c>
      <c r="I21" s="314">
        <v>0</v>
      </c>
      <c r="J21" s="314">
        <v>0</v>
      </c>
    </row>
    <row r="22" spans="1:10" ht="63.75" hidden="1" x14ac:dyDescent="0.25">
      <c r="A22" s="245" t="s">
        <v>246</v>
      </c>
      <c r="B22" s="246" t="str">
        <f>'таблица (всего)'!C133</f>
        <v xml:space="preserve">Финансовое обеспечение мероприятий, направленных на проведение пренатальной (дородовой) диагностики нарушений развития ребенка
</v>
      </c>
      <c r="C22" s="246" t="s">
        <v>180</v>
      </c>
      <c r="D22" s="314">
        <f>D23</f>
        <v>4675800</v>
      </c>
      <c r="E22" s="314">
        <f t="shared" ref="E22:J22" si="11">E23</f>
        <v>0</v>
      </c>
      <c r="F22" s="314">
        <f t="shared" si="11"/>
        <v>0</v>
      </c>
      <c r="G22" s="314">
        <f t="shared" si="11"/>
        <v>0</v>
      </c>
      <c r="H22" s="314">
        <f t="shared" si="11"/>
        <v>0</v>
      </c>
      <c r="I22" s="314">
        <f t="shared" si="11"/>
        <v>0</v>
      </c>
      <c r="J22" s="314">
        <f t="shared" si="11"/>
        <v>0</v>
      </c>
    </row>
    <row r="23" spans="1:10" hidden="1" x14ac:dyDescent="0.25">
      <c r="A23" s="246"/>
      <c r="B23" s="246" t="s">
        <v>225</v>
      </c>
      <c r="C23" s="1021"/>
      <c r="D23" s="314">
        <f>D25</f>
        <v>4675800</v>
      </c>
      <c r="E23" s="314">
        <f t="shared" ref="E23:J23" si="12">E25</f>
        <v>0</v>
      </c>
      <c r="F23" s="314">
        <f t="shared" si="12"/>
        <v>0</v>
      </c>
      <c r="G23" s="314">
        <f t="shared" si="12"/>
        <v>0</v>
      </c>
      <c r="H23" s="314">
        <f t="shared" si="12"/>
        <v>0</v>
      </c>
      <c r="I23" s="314">
        <f t="shared" si="12"/>
        <v>0</v>
      </c>
      <c r="J23" s="314">
        <f t="shared" si="12"/>
        <v>0</v>
      </c>
    </row>
    <row r="24" spans="1:10" hidden="1" x14ac:dyDescent="0.25">
      <c r="A24" s="246"/>
      <c r="B24" s="246" t="s">
        <v>177</v>
      </c>
      <c r="C24" s="1021"/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</row>
    <row r="25" spans="1:10" hidden="1" x14ac:dyDescent="0.25">
      <c r="A25" s="246"/>
      <c r="B25" s="246" t="s">
        <v>178</v>
      </c>
      <c r="C25" s="1021"/>
      <c r="D25" s="314">
        <f>'таблица (всего)'!D133</f>
        <v>4675800</v>
      </c>
      <c r="E25" s="314">
        <f>'таблица (всего)'!E133</f>
        <v>0</v>
      </c>
      <c r="F25" s="314">
        <f>'таблица (всего)'!F133</f>
        <v>0</v>
      </c>
      <c r="G25" s="314">
        <f>'таблица (всего)'!G133</f>
        <v>0</v>
      </c>
      <c r="H25" s="314">
        <f>'таблица (всего)'!H133</f>
        <v>0</v>
      </c>
      <c r="I25" s="314">
        <f>'таблица (всего)'!I133</f>
        <v>0</v>
      </c>
      <c r="J25" s="314">
        <f>'таблица (всего)'!J133</f>
        <v>0</v>
      </c>
    </row>
    <row r="26" spans="1:10" ht="76.5" hidden="1" x14ac:dyDescent="0.25">
      <c r="A26" s="245" t="s">
        <v>247</v>
      </c>
      <c r="B26" s="246" t="str">
        <f>'таблица (всего)'!C134</f>
        <v xml:space="preserve">Мероприятия, направленные на проведение пренатальной (дородовой) диагностики нарушений развития ребенка, в части закупки оборудования и расходных материалов для ее проведения
</v>
      </c>
      <c r="C26" s="246" t="s">
        <v>180</v>
      </c>
      <c r="D26" s="314">
        <f>D27</f>
        <v>246100</v>
      </c>
      <c r="E26" s="314">
        <f t="shared" ref="E26:J27" si="13">E27</f>
        <v>0</v>
      </c>
      <c r="F26" s="314">
        <f t="shared" si="13"/>
        <v>0</v>
      </c>
      <c r="G26" s="314">
        <f t="shared" si="13"/>
        <v>0</v>
      </c>
      <c r="H26" s="314">
        <f t="shared" si="13"/>
        <v>0</v>
      </c>
      <c r="I26" s="314">
        <f t="shared" si="13"/>
        <v>0</v>
      </c>
      <c r="J26" s="314">
        <f t="shared" si="13"/>
        <v>0</v>
      </c>
    </row>
    <row r="27" spans="1:10" hidden="1" x14ac:dyDescent="0.25">
      <c r="A27" s="246"/>
      <c r="B27" s="246" t="s">
        <v>225</v>
      </c>
      <c r="C27" s="1021"/>
      <c r="D27" s="314">
        <f>D28</f>
        <v>246100</v>
      </c>
      <c r="E27" s="314">
        <f t="shared" si="13"/>
        <v>0</v>
      </c>
      <c r="F27" s="314">
        <f t="shared" si="13"/>
        <v>0</v>
      </c>
      <c r="G27" s="314">
        <f t="shared" si="13"/>
        <v>0</v>
      </c>
      <c r="H27" s="314">
        <f t="shared" si="13"/>
        <v>0</v>
      </c>
      <c r="I27" s="314">
        <f t="shared" si="13"/>
        <v>0</v>
      </c>
      <c r="J27" s="314">
        <f t="shared" si="13"/>
        <v>0</v>
      </c>
    </row>
    <row r="28" spans="1:10" hidden="1" x14ac:dyDescent="0.25">
      <c r="A28" s="246"/>
      <c r="B28" s="246" t="s">
        <v>177</v>
      </c>
      <c r="C28" s="1021"/>
      <c r="D28" s="314">
        <f>'таблица (всего)'!D134</f>
        <v>246100</v>
      </c>
      <c r="E28" s="314">
        <f>'таблица (всего)'!E134</f>
        <v>0</v>
      </c>
      <c r="F28" s="314">
        <f>'таблица (всего)'!F134</f>
        <v>0</v>
      </c>
      <c r="G28" s="314">
        <f>'таблица (всего)'!G134</f>
        <v>0</v>
      </c>
      <c r="H28" s="314">
        <f>'таблица (всего)'!H134</f>
        <v>0</v>
      </c>
      <c r="I28" s="314">
        <f>'таблица (всего)'!I134</f>
        <v>0</v>
      </c>
      <c r="J28" s="314">
        <f>'таблица (всего)'!J134</f>
        <v>0</v>
      </c>
    </row>
    <row r="29" spans="1:10" hidden="1" x14ac:dyDescent="0.25">
      <c r="A29" s="246"/>
      <c r="B29" s="246" t="s">
        <v>178</v>
      </c>
      <c r="C29" s="1021"/>
      <c r="D29" s="314">
        <v>0</v>
      </c>
      <c r="E29" s="314">
        <v>0</v>
      </c>
      <c r="F29" s="314">
        <v>0</v>
      </c>
      <c r="G29" s="314">
        <v>0</v>
      </c>
      <c r="H29" s="314">
        <v>0</v>
      </c>
      <c r="I29" s="314">
        <v>0</v>
      </c>
      <c r="J29" s="314">
        <v>0</v>
      </c>
    </row>
    <row r="30" spans="1:10" ht="178.5" x14ac:dyDescent="0.25">
      <c r="A30" s="245" t="s">
        <v>248</v>
      </c>
      <c r="B30" s="247" t="str">
        <f>'таблица (всего)'!C136</f>
        <v>Иной межбюджетный трансферт бюджету территориального фонда обязательного медицинского  страхования Ивановской области на финансовое обеспечение мероприятий, направленных на проведение неонатального скрининга на 5 наследственных и врожденных заболеваний в части исследований и консультаций, осуществляемых медико-генетическими центрами (консультациями), а также медико-генетических исследований в соответствующих структурных подразделениях медицинских организаций</v>
      </c>
      <c r="C30" s="246" t="s">
        <v>180</v>
      </c>
      <c r="D30" s="314">
        <f>D31</f>
        <v>0</v>
      </c>
      <c r="E30" s="314">
        <f t="shared" ref="E30:J31" si="14">E31</f>
        <v>3564485</v>
      </c>
      <c r="F30" s="314">
        <f t="shared" si="14"/>
        <v>3000000</v>
      </c>
      <c r="G30" s="314">
        <f t="shared" si="14"/>
        <v>2700000</v>
      </c>
      <c r="H30" s="314">
        <f t="shared" si="14"/>
        <v>2700000</v>
      </c>
      <c r="I30" s="314">
        <f t="shared" si="14"/>
        <v>2700000</v>
      </c>
      <c r="J30" s="314">
        <f t="shared" si="14"/>
        <v>2700000</v>
      </c>
    </row>
    <row r="31" spans="1:10" x14ac:dyDescent="0.25">
      <c r="A31" s="246"/>
      <c r="B31" s="246" t="s">
        <v>225</v>
      </c>
      <c r="C31" s="1021"/>
      <c r="D31" s="314">
        <f>D32</f>
        <v>0</v>
      </c>
      <c r="E31" s="314">
        <f t="shared" si="14"/>
        <v>3564485</v>
      </c>
      <c r="F31" s="314">
        <f t="shared" si="14"/>
        <v>3000000</v>
      </c>
      <c r="G31" s="314">
        <f t="shared" si="14"/>
        <v>2700000</v>
      </c>
      <c r="H31" s="314">
        <f t="shared" si="14"/>
        <v>2700000</v>
      </c>
      <c r="I31" s="314">
        <f t="shared" si="14"/>
        <v>2700000</v>
      </c>
      <c r="J31" s="314">
        <f t="shared" si="14"/>
        <v>2700000</v>
      </c>
    </row>
    <row r="32" spans="1:10" x14ac:dyDescent="0.25">
      <c r="A32" s="246"/>
      <c r="B32" s="246" t="s">
        <v>177</v>
      </c>
      <c r="C32" s="1021"/>
      <c r="D32" s="314">
        <f>'таблица (всего)'!D136</f>
        <v>0</v>
      </c>
      <c r="E32" s="314">
        <f>'таблица (всего)'!E136</f>
        <v>3564485</v>
      </c>
      <c r="F32" s="314">
        <f>'таблица (всего)'!F136</f>
        <v>3000000</v>
      </c>
      <c r="G32" s="314">
        <f>'таблица (всего)'!G136</f>
        <v>2700000</v>
      </c>
      <c r="H32" s="314">
        <f>'таблица (всего)'!H136</f>
        <v>2700000</v>
      </c>
      <c r="I32" s="314">
        <f>'таблица (всего)'!I136</f>
        <v>2700000</v>
      </c>
      <c r="J32" s="314">
        <f>'таблица (всего)'!J136</f>
        <v>2700000</v>
      </c>
    </row>
    <row r="33" spans="1:10" x14ac:dyDescent="0.25">
      <c r="A33" s="246"/>
      <c r="B33" s="246" t="s">
        <v>178</v>
      </c>
      <c r="C33" s="1021"/>
      <c r="D33" s="314">
        <v>0</v>
      </c>
      <c r="E33" s="314">
        <v>0</v>
      </c>
      <c r="F33" s="314">
        <v>0</v>
      </c>
      <c r="G33" s="314">
        <v>0</v>
      </c>
      <c r="H33" s="314">
        <v>0</v>
      </c>
      <c r="I33" s="314">
        <v>0</v>
      </c>
      <c r="J33" s="314">
        <v>0</v>
      </c>
    </row>
    <row r="34" spans="1:10" ht="102" x14ac:dyDescent="0.25">
      <c r="A34" s="245" t="s">
        <v>249</v>
      </c>
      <c r="B34" s="247" t="str">
        <f>'таблица (всего)'!C135</f>
        <v>Иной межбюджетный трансферт бюджету территориального фонда обязательного медицинского страхования Ивановской области на финансовое обеспечение мероприятий, направленных на проведение пренатальной (дородовой) диагностики нарушений развития ребенка у беременных женщин</v>
      </c>
      <c r="C34" s="246" t="s">
        <v>180</v>
      </c>
      <c r="D34" s="314">
        <f>D35</f>
        <v>0</v>
      </c>
      <c r="E34" s="314">
        <f t="shared" ref="E34:J35" si="15">E35</f>
        <v>7505190</v>
      </c>
      <c r="F34" s="314">
        <f t="shared" si="15"/>
        <v>6005190</v>
      </c>
      <c r="G34" s="314">
        <f t="shared" si="15"/>
        <v>5404671</v>
      </c>
      <c r="H34" s="314">
        <f t="shared" si="15"/>
        <v>5404671</v>
      </c>
      <c r="I34" s="314">
        <f t="shared" si="15"/>
        <v>5404671</v>
      </c>
      <c r="J34" s="314">
        <f t="shared" si="15"/>
        <v>5404671</v>
      </c>
    </row>
    <row r="35" spans="1:10" x14ac:dyDescent="0.25">
      <c r="A35" s="246"/>
      <c r="B35" s="246" t="s">
        <v>225</v>
      </c>
      <c r="C35" s="1021"/>
      <c r="D35" s="314">
        <f>D36</f>
        <v>0</v>
      </c>
      <c r="E35" s="314">
        <f t="shared" si="15"/>
        <v>7505190</v>
      </c>
      <c r="F35" s="314">
        <f t="shared" si="15"/>
        <v>6005190</v>
      </c>
      <c r="G35" s="314">
        <f t="shared" si="15"/>
        <v>5404671</v>
      </c>
      <c r="H35" s="314">
        <f t="shared" si="15"/>
        <v>5404671</v>
      </c>
      <c r="I35" s="314">
        <f t="shared" si="15"/>
        <v>5404671</v>
      </c>
      <c r="J35" s="314">
        <f t="shared" si="15"/>
        <v>5404671</v>
      </c>
    </row>
    <row r="36" spans="1:10" x14ac:dyDescent="0.25">
      <c r="A36" s="246"/>
      <c r="B36" s="246" t="s">
        <v>177</v>
      </c>
      <c r="C36" s="1021"/>
      <c r="D36" s="314">
        <f>'таблица (всего)'!D135</f>
        <v>0</v>
      </c>
      <c r="E36" s="314">
        <f>'таблица (всего)'!E135</f>
        <v>7505190</v>
      </c>
      <c r="F36" s="314">
        <f>'таблица (всего)'!F135</f>
        <v>6005190</v>
      </c>
      <c r="G36" s="314">
        <f>'таблица (всего)'!G135</f>
        <v>5404671</v>
      </c>
      <c r="H36" s="314">
        <f>'таблица (всего)'!H135</f>
        <v>5404671</v>
      </c>
      <c r="I36" s="314">
        <f>'таблица (всего)'!I135</f>
        <v>5404671</v>
      </c>
      <c r="J36" s="314">
        <f>'таблица (всего)'!J135</f>
        <v>5404671</v>
      </c>
    </row>
    <row r="37" spans="1:10" x14ac:dyDescent="0.25">
      <c r="A37" s="246"/>
      <c r="B37" s="246" t="s">
        <v>178</v>
      </c>
      <c r="C37" s="1021"/>
      <c r="D37" s="314">
        <v>0</v>
      </c>
      <c r="E37" s="314">
        <v>0</v>
      </c>
      <c r="F37" s="314">
        <v>0</v>
      </c>
      <c r="G37" s="314">
        <v>0</v>
      </c>
      <c r="H37" s="314">
        <v>0</v>
      </c>
      <c r="I37" s="314">
        <v>0</v>
      </c>
      <c r="J37" s="314">
        <v>0</v>
      </c>
    </row>
  </sheetData>
  <mergeCells count="11">
    <mergeCell ref="C35:C37"/>
    <mergeCell ref="C31:C33"/>
    <mergeCell ref="C27:C29"/>
    <mergeCell ref="C23:C25"/>
    <mergeCell ref="C19:C21"/>
    <mergeCell ref="C15:C17"/>
    <mergeCell ref="I1:J1"/>
    <mergeCell ref="A2:J2"/>
    <mergeCell ref="A3:J3"/>
    <mergeCell ref="A6:A9"/>
    <mergeCell ref="C7:C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zoomScale="90" zoomScaleNormal="90" workbookViewId="0">
      <selection activeCell="J36" sqref="J36"/>
    </sheetView>
  </sheetViews>
  <sheetFormatPr defaultRowHeight="15" x14ac:dyDescent="0.25"/>
  <cols>
    <col min="1" max="1" width="5.140625" style="236" customWidth="1"/>
    <col min="2" max="2" width="36" style="236" customWidth="1"/>
    <col min="3" max="3" width="15.28515625" style="236" customWidth="1"/>
    <col min="4" max="5" width="18.5703125" style="236" hidden="1" customWidth="1"/>
    <col min="6" max="10" width="18.5703125" style="236" customWidth="1"/>
  </cols>
  <sheetData>
    <row r="1" spans="1:17" ht="88.5" customHeight="1" x14ac:dyDescent="0.25">
      <c r="A1" s="232"/>
      <c r="B1" s="219"/>
      <c r="C1" s="232"/>
      <c r="D1" s="235"/>
      <c r="E1" s="235"/>
      <c r="F1" s="235"/>
      <c r="I1" s="1011" t="s">
        <v>277</v>
      </c>
      <c r="J1" s="1011"/>
    </row>
    <row r="2" spans="1:17" ht="18.75" x14ac:dyDescent="0.25">
      <c r="A2" s="1012" t="s">
        <v>271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33"/>
      <c r="C4" s="233"/>
      <c r="D4" s="233"/>
      <c r="E4" s="233"/>
      <c r="F4" s="233"/>
      <c r="G4" s="233"/>
      <c r="H4" s="233"/>
      <c r="I4" s="233"/>
      <c r="J4" s="79" t="s">
        <v>172</v>
      </c>
    </row>
    <row r="5" spans="1:17" ht="25.5" x14ac:dyDescent="0.25">
      <c r="A5" s="226" t="s">
        <v>173</v>
      </c>
      <c r="B5" s="226" t="s">
        <v>223</v>
      </c>
      <c r="C5" s="226" t="s">
        <v>175</v>
      </c>
      <c r="D5" s="224">
        <v>2014</v>
      </c>
      <c r="E5" s="224">
        <v>2015</v>
      </c>
      <c r="F5" s="224">
        <v>2016</v>
      </c>
      <c r="G5" s="224">
        <v>2017</v>
      </c>
      <c r="H5" s="224">
        <v>2018</v>
      </c>
      <c r="I5" s="224">
        <v>2019</v>
      </c>
      <c r="J5" s="224">
        <v>2020</v>
      </c>
    </row>
    <row r="6" spans="1:17" x14ac:dyDescent="0.25">
      <c r="A6" s="226"/>
      <c r="B6" s="226" t="s">
        <v>224</v>
      </c>
      <c r="C6" s="226"/>
      <c r="D6" s="291">
        <f>D7</f>
        <v>10000000</v>
      </c>
      <c r="E6" s="291">
        <f t="shared" ref="E6:J6" si="0">E7</f>
        <v>1000000</v>
      </c>
      <c r="F6" s="291">
        <f t="shared" si="0"/>
        <v>1000000</v>
      </c>
      <c r="G6" s="291">
        <f t="shared" si="0"/>
        <v>0</v>
      </c>
      <c r="H6" s="291">
        <f t="shared" si="0"/>
        <v>0</v>
      </c>
      <c r="I6" s="291">
        <f t="shared" si="0"/>
        <v>0</v>
      </c>
      <c r="J6" s="291">
        <f t="shared" si="0"/>
        <v>0</v>
      </c>
      <c r="K6" s="222">
        <f>D6-'таблица (всего)'!D137</f>
        <v>0</v>
      </c>
      <c r="L6" s="222">
        <f>E6-'таблица (всего)'!E137</f>
        <v>0</v>
      </c>
      <c r="M6" s="222">
        <f>F6-'таблица (всего)'!F137</f>
        <v>0</v>
      </c>
      <c r="N6" s="222">
        <f>G6-'таблица (всего)'!G137</f>
        <v>0</v>
      </c>
      <c r="O6" s="222">
        <f>H6-'таблица (всего)'!H137</f>
        <v>0</v>
      </c>
      <c r="P6" s="222">
        <f>I6-'таблица (всего)'!I137</f>
        <v>0</v>
      </c>
      <c r="Q6" s="222">
        <f>J6-'таблица (всего)'!J137</f>
        <v>0</v>
      </c>
    </row>
    <row r="7" spans="1:17" x14ac:dyDescent="0.25">
      <c r="A7" s="226"/>
      <c r="B7" s="226" t="s">
        <v>225</v>
      </c>
      <c r="C7" s="1020"/>
      <c r="D7" s="291">
        <f>D8+D10</f>
        <v>10000000</v>
      </c>
      <c r="E7" s="291">
        <f t="shared" ref="E7:J7" si="1">E8+E10</f>
        <v>1000000</v>
      </c>
      <c r="F7" s="291">
        <f t="shared" si="1"/>
        <v>1000000</v>
      </c>
      <c r="G7" s="291">
        <f t="shared" si="1"/>
        <v>0</v>
      </c>
      <c r="H7" s="291">
        <f t="shared" si="1"/>
        <v>0</v>
      </c>
      <c r="I7" s="291">
        <f t="shared" si="1"/>
        <v>0</v>
      </c>
      <c r="J7" s="291">
        <f t="shared" si="1"/>
        <v>0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6"/>
      <c r="B8" s="226" t="s">
        <v>177</v>
      </c>
      <c r="C8" s="1020"/>
      <c r="D8" s="291">
        <f>D13</f>
        <v>5000000</v>
      </c>
      <c r="E8" s="291">
        <f t="shared" ref="E8:J8" si="2">E13</f>
        <v>500000</v>
      </c>
      <c r="F8" s="291">
        <f t="shared" si="2"/>
        <v>400000</v>
      </c>
      <c r="G8" s="291">
        <f t="shared" si="2"/>
        <v>0</v>
      </c>
      <c r="H8" s="291">
        <f t="shared" si="2"/>
        <v>0</v>
      </c>
      <c r="I8" s="291">
        <f t="shared" si="2"/>
        <v>0</v>
      </c>
      <c r="J8" s="291">
        <f t="shared" si="2"/>
        <v>0</v>
      </c>
      <c r="K8" s="222">
        <f>D8-'таблица (всего)'!D139</f>
        <v>0</v>
      </c>
      <c r="L8" s="222">
        <f>E8-'таблица (всего)'!E139</f>
        <v>0</v>
      </c>
      <c r="M8" s="222">
        <f>F8-'таблица (всего)'!F139</f>
        <v>0</v>
      </c>
      <c r="N8" s="222">
        <f>G8-'таблица (всего)'!G139</f>
        <v>0</v>
      </c>
      <c r="O8" s="222">
        <f>H8-'таблица (всего)'!H139</f>
        <v>0</v>
      </c>
      <c r="P8" s="222">
        <f>I8-'таблица (всего)'!I139</f>
        <v>0</v>
      </c>
      <c r="Q8" s="222">
        <f>J8-'таблица (всего)'!J139</f>
        <v>0</v>
      </c>
    </row>
    <row r="9" spans="1:17" x14ac:dyDescent="0.25">
      <c r="A9" s="226"/>
      <c r="B9" s="226" t="s">
        <v>178</v>
      </c>
      <c r="C9" s="1020"/>
      <c r="D9" s="291">
        <v>0</v>
      </c>
      <c r="E9" s="291">
        <v>0</v>
      </c>
      <c r="F9" s="291">
        <v>0</v>
      </c>
      <c r="G9" s="291">
        <v>0</v>
      </c>
      <c r="H9" s="291">
        <v>0</v>
      </c>
      <c r="I9" s="291">
        <v>0</v>
      </c>
      <c r="J9" s="291">
        <v>0</v>
      </c>
      <c r="K9" s="234"/>
      <c r="L9" s="234"/>
      <c r="M9" s="234"/>
      <c r="N9" s="234"/>
      <c r="O9" s="234"/>
      <c r="P9" s="234"/>
      <c r="Q9" s="234"/>
    </row>
    <row r="10" spans="1:17" ht="25.5" x14ac:dyDescent="0.25">
      <c r="A10" s="226"/>
      <c r="B10" s="226" t="s">
        <v>272</v>
      </c>
      <c r="C10" s="1020"/>
      <c r="D10" s="291">
        <f>D15</f>
        <v>5000000</v>
      </c>
      <c r="E10" s="291">
        <f t="shared" ref="E10:J10" si="3">E15</f>
        <v>500000</v>
      </c>
      <c r="F10" s="291">
        <f t="shared" si="3"/>
        <v>600000</v>
      </c>
      <c r="G10" s="291">
        <f t="shared" si="3"/>
        <v>0</v>
      </c>
      <c r="H10" s="291">
        <f t="shared" si="3"/>
        <v>0</v>
      </c>
      <c r="I10" s="291">
        <f t="shared" si="3"/>
        <v>0</v>
      </c>
      <c r="J10" s="291">
        <f t="shared" si="3"/>
        <v>0</v>
      </c>
      <c r="K10" s="222">
        <f>D10-'таблица (всего)'!D138</f>
        <v>0</v>
      </c>
      <c r="L10" s="222">
        <f>E10-'таблица (всего)'!E138</f>
        <v>0</v>
      </c>
      <c r="M10" s="222">
        <f>F10-'таблица (всего)'!F138</f>
        <v>0</v>
      </c>
      <c r="N10" s="222">
        <f>G10-'таблица (всего)'!G138</f>
        <v>0</v>
      </c>
      <c r="O10" s="222">
        <f>H10-'таблица (всего)'!H138</f>
        <v>0</v>
      </c>
      <c r="P10" s="222">
        <f>I10-'таблица (всего)'!I138</f>
        <v>0</v>
      </c>
      <c r="Q10" s="222">
        <f>J10-'таблица (всего)'!J138</f>
        <v>0</v>
      </c>
    </row>
    <row r="11" spans="1:17" ht="51" x14ac:dyDescent="0.25">
      <c r="A11" s="226" t="s">
        <v>228</v>
      </c>
      <c r="B11" s="226" t="s">
        <v>273</v>
      </c>
      <c r="C11" s="226" t="s">
        <v>180</v>
      </c>
      <c r="D11" s="291">
        <f>D12</f>
        <v>10000000</v>
      </c>
      <c r="E11" s="291">
        <f t="shared" ref="E11:J11" si="4">E12</f>
        <v>1000000</v>
      </c>
      <c r="F11" s="291">
        <f t="shared" si="4"/>
        <v>1000000</v>
      </c>
      <c r="G11" s="291">
        <f t="shared" si="4"/>
        <v>0</v>
      </c>
      <c r="H11" s="291">
        <f t="shared" si="4"/>
        <v>0</v>
      </c>
      <c r="I11" s="291">
        <f t="shared" si="4"/>
        <v>0</v>
      </c>
      <c r="J11" s="291">
        <f t="shared" si="4"/>
        <v>0</v>
      </c>
    </row>
    <row r="12" spans="1:17" x14ac:dyDescent="0.25">
      <c r="A12" s="226"/>
      <c r="B12" s="226" t="s">
        <v>225</v>
      </c>
      <c r="C12" s="1022"/>
      <c r="D12" s="291">
        <f>D13+D15</f>
        <v>10000000</v>
      </c>
      <c r="E12" s="291">
        <f t="shared" ref="E12:J12" si="5">E13+E15</f>
        <v>1000000</v>
      </c>
      <c r="F12" s="291">
        <f t="shared" si="5"/>
        <v>1000000</v>
      </c>
      <c r="G12" s="291">
        <f t="shared" si="5"/>
        <v>0</v>
      </c>
      <c r="H12" s="291">
        <f t="shared" si="5"/>
        <v>0</v>
      </c>
      <c r="I12" s="291">
        <f t="shared" si="5"/>
        <v>0</v>
      </c>
      <c r="J12" s="291">
        <f t="shared" si="5"/>
        <v>0</v>
      </c>
    </row>
    <row r="13" spans="1:17" x14ac:dyDescent="0.25">
      <c r="A13" s="226"/>
      <c r="B13" s="226" t="s">
        <v>177</v>
      </c>
      <c r="C13" s="1022"/>
      <c r="D13" s="291">
        <f t="shared" ref="D13:J13" si="6">D18+D22</f>
        <v>5000000</v>
      </c>
      <c r="E13" s="291">
        <f t="shared" si="6"/>
        <v>500000</v>
      </c>
      <c r="F13" s="291">
        <f t="shared" si="6"/>
        <v>400000</v>
      </c>
      <c r="G13" s="291">
        <f t="shared" si="6"/>
        <v>0</v>
      </c>
      <c r="H13" s="291">
        <f t="shared" si="6"/>
        <v>0</v>
      </c>
      <c r="I13" s="291">
        <f t="shared" si="6"/>
        <v>0</v>
      </c>
      <c r="J13" s="291">
        <f t="shared" si="6"/>
        <v>0</v>
      </c>
    </row>
    <row r="14" spans="1:17" x14ac:dyDescent="0.25">
      <c r="A14" s="226"/>
      <c r="B14" s="226" t="s">
        <v>178</v>
      </c>
      <c r="C14" s="1022"/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</row>
    <row r="15" spans="1:17" ht="25.5" x14ac:dyDescent="0.25">
      <c r="A15" s="226"/>
      <c r="B15" s="226" t="s">
        <v>272</v>
      </c>
      <c r="C15" s="1022"/>
      <c r="D15" s="291">
        <f>D28</f>
        <v>5000000</v>
      </c>
      <c r="E15" s="291">
        <f t="shared" ref="E15:J15" si="7">E28</f>
        <v>500000</v>
      </c>
      <c r="F15" s="291">
        <f t="shared" si="7"/>
        <v>600000</v>
      </c>
      <c r="G15" s="291">
        <f t="shared" si="7"/>
        <v>0</v>
      </c>
      <c r="H15" s="291">
        <f t="shared" si="7"/>
        <v>0</v>
      </c>
      <c r="I15" s="291">
        <f t="shared" si="7"/>
        <v>0</v>
      </c>
      <c r="J15" s="291">
        <f t="shared" si="7"/>
        <v>0</v>
      </c>
    </row>
    <row r="16" spans="1:17" ht="127.5" hidden="1" x14ac:dyDescent="0.25">
      <c r="A16" s="240" t="s">
        <v>234</v>
      </c>
      <c r="B16" s="226" t="s">
        <v>274</v>
      </c>
      <c r="C16" s="226" t="s">
        <v>180</v>
      </c>
      <c r="D16" s="291">
        <f>D17</f>
        <v>5000000</v>
      </c>
      <c r="E16" s="291">
        <f t="shared" ref="E16:J17" si="8">E17</f>
        <v>0</v>
      </c>
      <c r="F16" s="291">
        <f t="shared" si="8"/>
        <v>0</v>
      </c>
      <c r="G16" s="291">
        <f t="shared" si="8"/>
        <v>0</v>
      </c>
      <c r="H16" s="291">
        <f t="shared" si="8"/>
        <v>0</v>
      </c>
      <c r="I16" s="291">
        <f t="shared" si="8"/>
        <v>0</v>
      </c>
      <c r="J16" s="291">
        <f t="shared" si="8"/>
        <v>0</v>
      </c>
    </row>
    <row r="17" spans="1:10" hidden="1" x14ac:dyDescent="0.25">
      <c r="A17" s="226"/>
      <c r="B17" s="226" t="s">
        <v>225</v>
      </c>
      <c r="C17" s="1020"/>
      <c r="D17" s="291">
        <f>D18</f>
        <v>5000000</v>
      </c>
      <c r="E17" s="291">
        <f t="shared" si="8"/>
        <v>0</v>
      </c>
      <c r="F17" s="291">
        <f t="shared" si="8"/>
        <v>0</v>
      </c>
      <c r="G17" s="291">
        <f t="shared" si="8"/>
        <v>0</v>
      </c>
      <c r="H17" s="291">
        <f t="shared" si="8"/>
        <v>0</v>
      </c>
      <c r="I17" s="291">
        <f t="shared" si="8"/>
        <v>0</v>
      </c>
      <c r="J17" s="291">
        <f t="shared" si="8"/>
        <v>0</v>
      </c>
    </row>
    <row r="18" spans="1:10" hidden="1" x14ac:dyDescent="0.25">
      <c r="A18" s="226"/>
      <c r="B18" s="226" t="s">
        <v>177</v>
      </c>
      <c r="C18" s="1020"/>
      <c r="D18" s="291">
        <f>'таблица (всего)'!D141</f>
        <v>5000000</v>
      </c>
      <c r="E18" s="291">
        <f>'таблица (всего)'!E141</f>
        <v>0</v>
      </c>
      <c r="F18" s="291">
        <f>'таблица (всего)'!F141</f>
        <v>0</v>
      </c>
      <c r="G18" s="291">
        <f>'таблица (всего)'!G141</f>
        <v>0</v>
      </c>
      <c r="H18" s="291">
        <f>'таблица (всего)'!H141</f>
        <v>0</v>
      </c>
      <c r="I18" s="291">
        <f>'таблица (всего)'!I141</f>
        <v>0</v>
      </c>
      <c r="J18" s="291">
        <f>'таблица (всего)'!J141</f>
        <v>0</v>
      </c>
    </row>
    <row r="19" spans="1:10" hidden="1" x14ac:dyDescent="0.25">
      <c r="A19" s="226"/>
      <c r="B19" s="226" t="s">
        <v>178</v>
      </c>
      <c r="C19" s="1020"/>
      <c r="D19" s="291">
        <v>0</v>
      </c>
      <c r="E19" s="291">
        <v>0</v>
      </c>
      <c r="F19" s="291">
        <v>0</v>
      </c>
      <c r="G19" s="291">
        <v>0</v>
      </c>
      <c r="H19" s="291">
        <v>0</v>
      </c>
      <c r="I19" s="291">
        <v>0</v>
      </c>
      <c r="J19" s="291">
        <v>0</v>
      </c>
    </row>
    <row r="20" spans="1:10" ht="127.5" x14ac:dyDescent="0.25">
      <c r="A20" s="226" t="s">
        <v>235</v>
      </c>
      <c r="B20" s="226" t="s">
        <v>275</v>
      </c>
      <c r="C20" s="1020" t="s">
        <v>180</v>
      </c>
      <c r="D20" s="291">
        <f>D21</f>
        <v>0</v>
      </c>
      <c r="E20" s="291">
        <f t="shared" ref="E20:J21" si="9">E21</f>
        <v>500000</v>
      </c>
      <c r="F20" s="291">
        <f t="shared" si="9"/>
        <v>400000</v>
      </c>
      <c r="G20" s="291">
        <f t="shared" si="9"/>
        <v>0</v>
      </c>
      <c r="H20" s="291">
        <f t="shared" si="9"/>
        <v>0</v>
      </c>
      <c r="I20" s="291">
        <f t="shared" si="9"/>
        <v>0</v>
      </c>
      <c r="J20" s="291">
        <f t="shared" si="9"/>
        <v>0</v>
      </c>
    </row>
    <row r="21" spans="1:10" x14ac:dyDescent="0.25">
      <c r="A21" s="226"/>
      <c r="B21" s="226" t="s">
        <v>225</v>
      </c>
      <c r="C21" s="1020"/>
      <c r="D21" s="291">
        <f>D22</f>
        <v>0</v>
      </c>
      <c r="E21" s="291">
        <f t="shared" si="9"/>
        <v>500000</v>
      </c>
      <c r="F21" s="291">
        <f t="shared" si="9"/>
        <v>400000</v>
      </c>
      <c r="G21" s="291">
        <f t="shared" si="9"/>
        <v>0</v>
      </c>
      <c r="H21" s="291">
        <f t="shared" si="9"/>
        <v>0</v>
      </c>
      <c r="I21" s="291">
        <f t="shared" si="9"/>
        <v>0</v>
      </c>
      <c r="J21" s="291">
        <f t="shared" si="9"/>
        <v>0</v>
      </c>
    </row>
    <row r="22" spans="1:10" x14ac:dyDescent="0.25">
      <c r="A22" s="226"/>
      <c r="B22" s="226" t="s">
        <v>177</v>
      </c>
      <c r="C22" s="1020"/>
      <c r="D22" s="291">
        <f>'таблица (всего)'!D142</f>
        <v>0</v>
      </c>
      <c r="E22" s="291">
        <f>'таблица (всего)'!E142</f>
        <v>500000</v>
      </c>
      <c r="F22" s="291">
        <f>'таблица (всего)'!F142</f>
        <v>400000</v>
      </c>
      <c r="G22" s="291">
        <f>'таблица (всего)'!G142</f>
        <v>0</v>
      </c>
      <c r="H22" s="291">
        <f>'таблица (всего)'!H142</f>
        <v>0</v>
      </c>
      <c r="I22" s="291">
        <f>'таблица (всего)'!I142</f>
        <v>0</v>
      </c>
      <c r="J22" s="291">
        <f>'таблица (всего)'!J142</f>
        <v>0</v>
      </c>
    </row>
    <row r="23" spans="1:10" x14ac:dyDescent="0.25">
      <c r="A23" s="226"/>
      <c r="B23" s="226" t="s">
        <v>178</v>
      </c>
      <c r="C23" s="1020"/>
      <c r="D23" s="291">
        <v>0</v>
      </c>
      <c r="E23" s="291">
        <v>0</v>
      </c>
      <c r="F23" s="291">
        <v>0</v>
      </c>
      <c r="G23" s="291">
        <v>0</v>
      </c>
      <c r="H23" s="291">
        <v>0</v>
      </c>
      <c r="I23" s="291">
        <v>0</v>
      </c>
      <c r="J23" s="291">
        <v>0</v>
      </c>
    </row>
    <row r="24" spans="1:10" ht="51" hidden="1" x14ac:dyDescent="0.25">
      <c r="A24" s="226" t="s">
        <v>246</v>
      </c>
      <c r="B24" s="226" t="s">
        <v>276</v>
      </c>
      <c r="C24" s="226" t="s">
        <v>180</v>
      </c>
      <c r="D24" s="291">
        <f>D25</f>
        <v>5000000</v>
      </c>
      <c r="E24" s="291">
        <f t="shared" ref="E24:J24" si="10">E25</f>
        <v>500000</v>
      </c>
      <c r="F24" s="291">
        <f t="shared" si="10"/>
        <v>600000</v>
      </c>
      <c r="G24" s="291">
        <f t="shared" si="10"/>
        <v>0</v>
      </c>
      <c r="H24" s="291">
        <f t="shared" si="10"/>
        <v>0</v>
      </c>
      <c r="I24" s="291">
        <f t="shared" si="10"/>
        <v>0</v>
      </c>
      <c r="J24" s="291">
        <f t="shared" si="10"/>
        <v>0</v>
      </c>
    </row>
    <row r="25" spans="1:10" hidden="1" x14ac:dyDescent="0.25">
      <c r="A25" s="226"/>
      <c r="B25" s="226" t="s">
        <v>225</v>
      </c>
      <c r="C25" s="1020"/>
      <c r="D25" s="291">
        <f>D28</f>
        <v>5000000</v>
      </c>
      <c r="E25" s="291">
        <f t="shared" ref="E25:J25" si="11">E28</f>
        <v>500000</v>
      </c>
      <c r="F25" s="291">
        <f t="shared" si="11"/>
        <v>600000</v>
      </c>
      <c r="G25" s="291">
        <f t="shared" si="11"/>
        <v>0</v>
      </c>
      <c r="H25" s="291">
        <f t="shared" si="11"/>
        <v>0</v>
      </c>
      <c r="I25" s="291">
        <f t="shared" si="11"/>
        <v>0</v>
      </c>
      <c r="J25" s="291">
        <f t="shared" si="11"/>
        <v>0</v>
      </c>
    </row>
    <row r="26" spans="1:10" hidden="1" x14ac:dyDescent="0.25">
      <c r="A26" s="226"/>
      <c r="B26" s="226" t="s">
        <v>177</v>
      </c>
      <c r="C26" s="1020"/>
      <c r="D26" s="291">
        <v>0</v>
      </c>
      <c r="E26" s="291">
        <v>0</v>
      </c>
      <c r="F26" s="291">
        <v>0</v>
      </c>
      <c r="G26" s="291">
        <v>0</v>
      </c>
      <c r="H26" s="291">
        <v>0</v>
      </c>
      <c r="I26" s="291">
        <v>0</v>
      </c>
      <c r="J26" s="291">
        <v>0</v>
      </c>
    </row>
    <row r="27" spans="1:10" hidden="1" x14ac:dyDescent="0.25">
      <c r="A27" s="226"/>
      <c r="B27" s="226" t="s">
        <v>178</v>
      </c>
      <c r="C27" s="1020"/>
      <c r="D27" s="291">
        <v>0</v>
      </c>
      <c r="E27" s="291">
        <v>0</v>
      </c>
      <c r="F27" s="291">
        <v>0</v>
      </c>
      <c r="G27" s="291">
        <v>0</v>
      </c>
      <c r="H27" s="291">
        <v>0</v>
      </c>
      <c r="I27" s="291">
        <v>0</v>
      </c>
      <c r="J27" s="291">
        <v>0</v>
      </c>
    </row>
    <row r="28" spans="1:10" ht="25.5" hidden="1" x14ac:dyDescent="0.25">
      <c r="A28" s="226"/>
      <c r="B28" s="226" t="s">
        <v>272</v>
      </c>
      <c r="C28" s="1020"/>
      <c r="D28" s="291">
        <f>'таблица (всего)'!D143</f>
        <v>5000000</v>
      </c>
      <c r="E28" s="291">
        <f>'таблица (всего)'!E143</f>
        <v>500000</v>
      </c>
      <c r="F28" s="291">
        <f>'таблица (всего)'!F143</f>
        <v>600000</v>
      </c>
      <c r="G28" s="291">
        <f>'таблица (всего)'!G143</f>
        <v>0</v>
      </c>
      <c r="H28" s="291">
        <f>'таблица (всего)'!H143</f>
        <v>0</v>
      </c>
      <c r="I28" s="291">
        <f>'таблица (всего)'!I143</f>
        <v>0</v>
      </c>
      <c r="J28" s="291">
        <f>'таблица (всего)'!J143</f>
        <v>0</v>
      </c>
    </row>
  </sheetData>
  <mergeCells count="8">
    <mergeCell ref="C20:C23"/>
    <mergeCell ref="C25:C28"/>
    <mergeCell ref="C12:C15"/>
    <mergeCell ref="I1:J1"/>
    <mergeCell ref="A2:J2"/>
    <mergeCell ref="A3:J3"/>
    <mergeCell ref="C7:C10"/>
    <mergeCell ref="C17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topLeftCell="A4" zoomScale="90" zoomScaleNormal="90" workbookViewId="0">
      <selection activeCell="G21" sqref="G21"/>
    </sheetView>
  </sheetViews>
  <sheetFormatPr defaultRowHeight="15" x14ac:dyDescent="0.25"/>
  <cols>
    <col min="1" max="1" width="5.140625" style="274" customWidth="1"/>
    <col min="2" max="2" width="36" style="274" customWidth="1"/>
    <col min="3" max="3" width="15.28515625" style="274" customWidth="1"/>
    <col min="4" max="5" width="18.5703125" style="274" hidden="1" customWidth="1"/>
    <col min="6" max="10" width="18.5703125" style="274" customWidth="1"/>
  </cols>
  <sheetData>
    <row r="1" spans="1:18" ht="91.5" customHeight="1" x14ac:dyDescent="0.25">
      <c r="A1" s="276"/>
      <c r="B1" s="277"/>
      <c r="C1" s="276"/>
      <c r="D1" s="278"/>
      <c r="E1" s="278"/>
      <c r="F1" s="278"/>
      <c r="G1" s="276"/>
      <c r="H1" s="276"/>
      <c r="I1" s="1011" t="s">
        <v>287</v>
      </c>
      <c r="J1" s="1011"/>
    </row>
    <row r="2" spans="1:18" ht="18.75" x14ac:dyDescent="0.25">
      <c r="A2" s="1012" t="s">
        <v>271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8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8" ht="18.75" x14ac:dyDescent="0.25">
      <c r="A4" s="233"/>
      <c r="B4" s="233"/>
      <c r="C4" s="233"/>
      <c r="D4" s="233"/>
      <c r="E4" s="233"/>
      <c r="F4" s="233"/>
      <c r="G4" s="233"/>
      <c r="H4" s="233"/>
      <c r="I4" s="233"/>
      <c r="J4" s="79" t="s">
        <v>172</v>
      </c>
    </row>
    <row r="5" spans="1:18" ht="30" customHeight="1" x14ac:dyDescent="0.25">
      <c r="A5" s="224" t="s">
        <v>245</v>
      </c>
      <c r="B5" s="224" t="s">
        <v>285</v>
      </c>
      <c r="C5" s="224" t="s">
        <v>175</v>
      </c>
      <c r="D5" s="224">
        <v>2014</v>
      </c>
      <c r="E5" s="224">
        <v>2015</v>
      </c>
      <c r="F5" s="224">
        <v>2016</v>
      </c>
      <c r="G5" s="224">
        <v>2017</v>
      </c>
      <c r="H5" s="224">
        <v>2018</v>
      </c>
      <c r="I5" s="224">
        <v>2019</v>
      </c>
      <c r="J5" s="224">
        <v>2020</v>
      </c>
    </row>
    <row r="6" spans="1:18" x14ac:dyDescent="0.25">
      <c r="A6" s="275"/>
      <c r="B6" s="226" t="s">
        <v>224</v>
      </c>
      <c r="C6" s="275"/>
      <c r="D6" s="147">
        <f>D7</f>
        <v>7839427400</v>
      </c>
      <c r="E6" s="147">
        <f t="shared" ref="E6:J6" si="0">E7</f>
        <v>8980440100</v>
      </c>
      <c r="F6" s="147">
        <f t="shared" si="0"/>
        <v>8686826900</v>
      </c>
      <c r="G6" s="147">
        <f t="shared" si="0"/>
        <v>9313583900</v>
      </c>
      <c r="H6" s="147">
        <f t="shared" si="0"/>
        <v>10369593900</v>
      </c>
      <c r="I6" s="147">
        <f t="shared" si="0"/>
        <v>10909676400</v>
      </c>
      <c r="J6" s="147">
        <f t="shared" si="0"/>
        <v>10909676400</v>
      </c>
      <c r="K6" s="222">
        <f>D6-'таблица (всего)'!D144</f>
        <v>0</v>
      </c>
      <c r="L6" s="222">
        <f>E6-'таблица (всего)'!E144</f>
        <v>0</v>
      </c>
      <c r="M6" s="222">
        <f>F6-'таблица (всего)'!F144</f>
        <v>0</v>
      </c>
      <c r="N6" s="222">
        <f>G6-'таблица (всего)'!G144</f>
        <v>0</v>
      </c>
      <c r="O6" s="222">
        <f>H6-'таблица (всего)'!H144</f>
        <v>0</v>
      </c>
      <c r="P6" s="222">
        <f>I6-'таблица (всего)'!I144</f>
        <v>0</v>
      </c>
      <c r="Q6" s="222">
        <f>J6-'таблица (всего)'!J144</f>
        <v>0</v>
      </c>
      <c r="R6" s="222"/>
    </row>
    <row r="7" spans="1:18" x14ac:dyDescent="0.25">
      <c r="A7" s="275"/>
      <c r="B7" s="226" t="s">
        <v>179</v>
      </c>
      <c r="C7" s="1023"/>
      <c r="D7" s="147">
        <f>D8</f>
        <v>7839427400</v>
      </c>
      <c r="E7" s="147">
        <f t="shared" ref="E7:J7" si="1">E8</f>
        <v>8980440100</v>
      </c>
      <c r="F7" s="147">
        <f t="shared" si="1"/>
        <v>8686826900</v>
      </c>
      <c r="G7" s="147">
        <f t="shared" si="1"/>
        <v>9313583900</v>
      </c>
      <c r="H7" s="147">
        <f t="shared" si="1"/>
        <v>10369593900</v>
      </c>
      <c r="I7" s="147">
        <f t="shared" si="1"/>
        <v>10909676400</v>
      </c>
      <c r="J7" s="147">
        <f t="shared" si="1"/>
        <v>10909676400</v>
      </c>
    </row>
    <row r="8" spans="1:18" ht="25.5" x14ac:dyDescent="0.25">
      <c r="A8" s="275"/>
      <c r="B8" s="226" t="s">
        <v>230</v>
      </c>
      <c r="C8" s="1023"/>
      <c r="D8" s="147">
        <f>D11</f>
        <v>7839427400</v>
      </c>
      <c r="E8" s="147">
        <f t="shared" ref="E8:J8" si="2">E11</f>
        <v>8980440100</v>
      </c>
      <c r="F8" s="147">
        <f t="shared" si="2"/>
        <v>8686826900</v>
      </c>
      <c r="G8" s="147">
        <f t="shared" si="2"/>
        <v>9313583900</v>
      </c>
      <c r="H8" s="147">
        <f t="shared" si="2"/>
        <v>10369593900</v>
      </c>
      <c r="I8" s="147">
        <f t="shared" si="2"/>
        <v>10909676400</v>
      </c>
      <c r="J8" s="147">
        <f t="shared" si="2"/>
        <v>10909676400</v>
      </c>
    </row>
    <row r="9" spans="1:18" ht="89.25" x14ac:dyDescent="0.25">
      <c r="A9" s="275" t="s">
        <v>228</v>
      </c>
      <c r="B9" s="226" t="str">
        <f>'таблица (всего)'!C145</f>
        <v xml:space="preserve">Обеспечение оказания в полном объеме и на должном уровне качества бесплатной медицинской помощи населению Ивановской области, финансирование оказания которой осуществляется за счет средств ОМС
</v>
      </c>
      <c r="C9" s="275" t="s">
        <v>286</v>
      </c>
      <c r="D9" s="147">
        <f>D10</f>
        <v>7839427400</v>
      </c>
      <c r="E9" s="147">
        <f t="shared" ref="E9:J9" si="3">E10</f>
        <v>8980440100</v>
      </c>
      <c r="F9" s="147">
        <f t="shared" si="3"/>
        <v>8686826900</v>
      </c>
      <c r="G9" s="147">
        <f t="shared" si="3"/>
        <v>9313583900</v>
      </c>
      <c r="H9" s="147">
        <f t="shared" si="3"/>
        <v>10369593900</v>
      </c>
      <c r="I9" s="147">
        <f t="shared" si="3"/>
        <v>10909676400</v>
      </c>
      <c r="J9" s="147">
        <f t="shared" si="3"/>
        <v>10909676400</v>
      </c>
    </row>
    <row r="10" spans="1:18" x14ac:dyDescent="0.25">
      <c r="A10" s="275"/>
      <c r="B10" s="226" t="s">
        <v>179</v>
      </c>
      <c r="C10" s="1023"/>
      <c r="D10" s="147">
        <f>D11</f>
        <v>7839427400</v>
      </c>
      <c r="E10" s="147">
        <f t="shared" ref="E10:J10" si="4">E11</f>
        <v>8980440100</v>
      </c>
      <c r="F10" s="147">
        <f t="shared" si="4"/>
        <v>8686826900</v>
      </c>
      <c r="G10" s="147">
        <f t="shared" si="4"/>
        <v>9313583900</v>
      </c>
      <c r="H10" s="147">
        <f t="shared" si="4"/>
        <v>10369593900</v>
      </c>
      <c r="I10" s="147">
        <f t="shared" si="4"/>
        <v>10909676400</v>
      </c>
      <c r="J10" s="147">
        <f t="shared" si="4"/>
        <v>10909676400</v>
      </c>
    </row>
    <row r="11" spans="1:18" ht="25.5" x14ac:dyDescent="0.25">
      <c r="A11" s="275"/>
      <c r="B11" s="226" t="s">
        <v>230</v>
      </c>
      <c r="C11" s="1023"/>
      <c r="D11" s="147">
        <f t="shared" ref="D11:J11" si="5">D14+D17</f>
        <v>7839427400</v>
      </c>
      <c r="E11" s="147">
        <f t="shared" si="5"/>
        <v>8980440100</v>
      </c>
      <c r="F11" s="147">
        <f t="shared" si="5"/>
        <v>8686826900</v>
      </c>
      <c r="G11" s="147">
        <f t="shared" si="5"/>
        <v>9313583900</v>
      </c>
      <c r="H11" s="147">
        <f t="shared" si="5"/>
        <v>10369593900</v>
      </c>
      <c r="I11" s="147">
        <f t="shared" si="5"/>
        <v>10909676400</v>
      </c>
      <c r="J11" s="147">
        <f t="shared" si="5"/>
        <v>10909676400</v>
      </c>
    </row>
    <row r="12" spans="1:18" ht="89.25" x14ac:dyDescent="0.25">
      <c r="A12" s="240" t="s">
        <v>234</v>
      </c>
      <c r="B12" s="226" t="str">
        <f>'таблица (всего)'!C146</f>
        <v>Финансовое обеспечение организации обязательного медицинского страхования на территориях субъектов Российской Федерации</v>
      </c>
      <c r="C12" s="226" t="s">
        <v>286</v>
      </c>
      <c r="D12" s="147">
        <f>D13</f>
        <v>7671820400</v>
      </c>
      <c r="E12" s="147">
        <f t="shared" ref="E12:J12" si="6">E13</f>
        <v>8763677800</v>
      </c>
      <c r="F12" s="147">
        <f t="shared" si="6"/>
        <v>8401199900</v>
      </c>
      <c r="G12" s="147">
        <f t="shared" si="6"/>
        <v>9313483900</v>
      </c>
      <c r="H12" s="147">
        <f t="shared" si="6"/>
        <v>10369493900</v>
      </c>
      <c r="I12" s="147">
        <f t="shared" si="6"/>
        <v>10909576400</v>
      </c>
      <c r="J12" s="147">
        <f t="shared" si="6"/>
        <v>10909576400</v>
      </c>
    </row>
    <row r="13" spans="1:18" x14ac:dyDescent="0.25">
      <c r="A13" s="275"/>
      <c r="B13" s="226" t="s">
        <v>179</v>
      </c>
      <c r="C13" s="1023"/>
      <c r="D13" s="147">
        <f>D14</f>
        <v>7671820400</v>
      </c>
      <c r="E13" s="147">
        <f t="shared" ref="E13:J13" si="7">E14</f>
        <v>8763677800</v>
      </c>
      <c r="F13" s="147">
        <f t="shared" si="7"/>
        <v>8401199900</v>
      </c>
      <c r="G13" s="147">
        <f t="shared" si="7"/>
        <v>9313483900</v>
      </c>
      <c r="H13" s="147">
        <f t="shared" si="7"/>
        <v>10369493900</v>
      </c>
      <c r="I13" s="147">
        <f t="shared" si="7"/>
        <v>10909576400</v>
      </c>
      <c r="J13" s="147">
        <f t="shared" si="7"/>
        <v>10909576400</v>
      </c>
    </row>
    <row r="14" spans="1:18" ht="25.5" x14ac:dyDescent="0.25">
      <c r="A14" s="275"/>
      <c r="B14" s="226" t="s">
        <v>230</v>
      </c>
      <c r="C14" s="1023"/>
      <c r="D14" s="147">
        <f>'таблица (всего)'!D146</f>
        <v>7671820400</v>
      </c>
      <c r="E14" s="147">
        <f>'таблица (всего)'!E146</f>
        <v>8763677800</v>
      </c>
      <c r="F14" s="147">
        <f>'таблица (всего)'!F146</f>
        <v>8401199900</v>
      </c>
      <c r="G14" s="147">
        <f>'таблица (всего)'!G146</f>
        <v>9313483900</v>
      </c>
      <c r="H14" s="147">
        <f>'таблица (всего)'!H146</f>
        <v>10369493900</v>
      </c>
      <c r="I14" s="147">
        <f>'таблица (всего)'!I146</f>
        <v>10909576400</v>
      </c>
      <c r="J14" s="147">
        <f>'таблица (всего)'!J146</f>
        <v>10909576400</v>
      </c>
    </row>
    <row r="15" spans="1:18" ht="89.25" x14ac:dyDescent="0.25">
      <c r="A15" s="240" t="s">
        <v>235</v>
      </c>
      <c r="B15" s="226" t="str">
        <f>'таблица (всего)'!C147</f>
        <v xml:space="preserve">Дополнительное финансовое обеспечение организации обязательного медицинского страхования на территории Ивановской области </v>
      </c>
      <c r="C15" s="226" t="s">
        <v>286</v>
      </c>
      <c r="D15" s="147">
        <f>D16</f>
        <v>167607000</v>
      </c>
      <c r="E15" s="147">
        <f t="shared" ref="E15:J15" si="8">E16</f>
        <v>216762300</v>
      </c>
      <c r="F15" s="147">
        <f t="shared" si="8"/>
        <v>285627000</v>
      </c>
      <c r="G15" s="147">
        <f t="shared" si="8"/>
        <v>100000</v>
      </c>
      <c r="H15" s="147">
        <f t="shared" si="8"/>
        <v>100000</v>
      </c>
      <c r="I15" s="147">
        <f t="shared" si="8"/>
        <v>100000</v>
      </c>
      <c r="J15" s="147">
        <f t="shared" si="8"/>
        <v>100000</v>
      </c>
    </row>
    <row r="16" spans="1:18" x14ac:dyDescent="0.25">
      <c r="A16" s="275"/>
      <c r="B16" s="226" t="s">
        <v>179</v>
      </c>
      <c r="C16" s="1023"/>
      <c r="D16" s="147">
        <f>D17</f>
        <v>167607000</v>
      </c>
      <c r="E16" s="147">
        <f t="shared" ref="E16:J16" si="9">E17</f>
        <v>216762300</v>
      </c>
      <c r="F16" s="147">
        <f t="shared" si="9"/>
        <v>285627000</v>
      </c>
      <c r="G16" s="147">
        <f t="shared" si="9"/>
        <v>100000</v>
      </c>
      <c r="H16" s="147">
        <f t="shared" si="9"/>
        <v>100000</v>
      </c>
      <c r="I16" s="147">
        <f t="shared" si="9"/>
        <v>100000</v>
      </c>
      <c r="J16" s="147">
        <f t="shared" si="9"/>
        <v>100000</v>
      </c>
    </row>
    <row r="17" spans="1:10" ht="25.5" x14ac:dyDescent="0.25">
      <c r="A17" s="275"/>
      <c r="B17" s="226" t="s">
        <v>230</v>
      </c>
      <c r="C17" s="1023"/>
      <c r="D17" s="147">
        <f>'таблица (всего)'!D147</f>
        <v>167607000</v>
      </c>
      <c r="E17" s="147">
        <f>'таблица (всего)'!E147</f>
        <v>216762300</v>
      </c>
      <c r="F17" s="147">
        <f>'таблица (всего)'!F147</f>
        <v>285627000</v>
      </c>
      <c r="G17" s="147">
        <f>'таблица (всего)'!G147</f>
        <v>100000</v>
      </c>
      <c r="H17" s="147">
        <f>'таблица (всего)'!H147</f>
        <v>100000</v>
      </c>
      <c r="I17" s="147">
        <f>'таблица (всего)'!I147</f>
        <v>100000</v>
      </c>
      <c r="J17" s="147">
        <f>'таблица (всего)'!J147</f>
        <v>100000</v>
      </c>
    </row>
  </sheetData>
  <mergeCells count="7">
    <mergeCell ref="C7:C8"/>
    <mergeCell ref="C10:C11"/>
    <mergeCell ref="C13:C14"/>
    <mergeCell ref="C16:C17"/>
    <mergeCell ref="I1:J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9"/>
  <sheetViews>
    <sheetView topLeftCell="A4" workbookViewId="0">
      <selection activeCell="K29" sqref="K29"/>
    </sheetView>
  </sheetViews>
  <sheetFormatPr defaultRowHeight="15" x14ac:dyDescent="0.25"/>
  <cols>
    <col min="2" max="2" width="27.42578125" customWidth="1"/>
    <col min="3" max="3" width="18.42578125" customWidth="1"/>
    <col min="4" max="10" width="17.42578125" customWidth="1"/>
  </cols>
  <sheetData>
    <row r="1" spans="1:17" ht="104.25" customHeight="1" x14ac:dyDescent="0.25">
      <c r="A1" s="276"/>
      <c r="B1" s="277"/>
      <c r="C1" s="276"/>
      <c r="D1" s="278"/>
      <c r="E1" s="278"/>
      <c r="F1" s="278"/>
      <c r="G1" s="284"/>
      <c r="H1" s="284"/>
      <c r="I1" s="1011" t="s">
        <v>309</v>
      </c>
      <c r="J1" s="1011"/>
    </row>
    <row r="2" spans="1:17" ht="18.75" x14ac:dyDescent="0.25">
      <c r="A2" s="1012" t="s">
        <v>308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2" t="s">
        <v>307</v>
      </c>
      <c r="B3" s="1012"/>
      <c r="C3" s="1012"/>
      <c r="D3" s="1012"/>
      <c r="E3" s="1012"/>
      <c r="F3" s="1012"/>
      <c r="G3" s="1012"/>
      <c r="H3" s="1012"/>
      <c r="I3" s="1012"/>
      <c r="J3" s="1012"/>
    </row>
    <row r="4" spans="1:17" ht="18.75" x14ac:dyDescent="0.25">
      <c r="A4" s="289"/>
      <c r="J4" s="79"/>
    </row>
    <row r="5" spans="1:17" x14ac:dyDescent="0.25">
      <c r="A5" s="1024" t="s">
        <v>245</v>
      </c>
      <c r="B5" s="1024" t="s">
        <v>293</v>
      </c>
      <c r="C5" s="1024" t="s">
        <v>175</v>
      </c>
      <c r="D5" s="1024">
        <v>2014</v>
      </c>
      <c r="E5" s="1024">
        <v>2015</v>
      </c>
      <c r="F5" s="1024">
        <v>2016</v>
      </c>
      <c r="G5" s="1024">
        <v>2017</v>
      </c>
      <c r="H5" s="1024">
        <v>2018</v>
      </c>
      <c r="I5" s="1024">
        <v>2019</v>
      </c>
      <c r="J5" s="1024">
        <v>2020</v>
      </c>
    </row>
    <row r="6" spans="1:17" x14ac:dyDescent="0.25">
      <c r="A6" s="1024"/>
      <c r="B6" s="1024"/>
      <c r="C6" s="1024"/>
      <c r="D6" s="1024"/>
      <c r="E6" s="1024"/>
      <c r="F6" s="1024"/>
      <c r="G6" s="1024"/>
      <c r="H6" s="1024"/>
      <c r="I6" s="1024"/>
      <c r="J6" s="1024"/>
    </row>
    <row r="7" spans="1:17" ht="127.5" x14ac:dyDescent="0.25">
      <c r="A7" s="223" t="s">
        <v>258</v>
      </c>
      <c r="B7" s="282" t="str">
        <f>'таблица (всего)'!C151</f>
        <v xml:space="preserve"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
</v>
      </c>
      <c r="C7" s="282" t="s">
        <v>180</v>
      </c>
      <c r="D7" s="227">
        <f>'таблица (всего)'!D151</f>
        <v>1492600</v>
      </c>
      <c r="E7" s="227">
        <f>'таблица (всего)'!E151</f>
        <v>139200.01</v>
      </c>
      <c r="F7" s="227">
        <f>'таблица (всего)'!F151</f>
        <v>339302.5</v>
      </c>
      <c r="G7" s="227">
        <f>'таблица (всего)'!G151</f>
        <v>339302.5</v>
      </c>
      <c r="H7" s="227">
        <f>'таблица (всего)'!H151</f>
        <v>339302.5</v>
      </c>
      <c r="I7" s="227">
        <f>'таблица (всего)'!I151</f>
        <v>339302.5</v>
      </c>
      <c r="J7" s="227">
        <f>'таблица (всего)'!J151</f>
        <v>339302.5</v>
      </c>
      <c r="K7" s="243">
        <f>D7-'таблица (всего)'!D151</f>
        <v>0</v>
      </c>
      <c r="L7" s="243">
        <f>E7-'таблица (всего)'!E151</f>
        <v>0</v>
      </c>
      <c r="M7" s="243">
        <f>F7-'таблица (всего)'!F151</f>
        <v>0</v>
      </c>
      <c r="N7" s="243">
        <f>G7-'таблица (всего)'!G151</f>
        <v>0</v>
      </c>
      <c r="O7" s="243">
        <f>H7-'таблица (всего)'!H151</f>
        <v>0</v>
      </c>
      <c r="P7" s="243">
        <f>I7-'таблица (всего)'!I151</f>
        <v>0</v>
      </c>
      <c r="Q7" s="243">
        <f>J7-'таблица (всего)'!J151</f>
        <v>0</v>
      </c>
    </row>
    <row r="8" spans="1:17" ht="95.25" customHeight="1" x14ac:dyDescent="0.25">
      <c r="A8" s="223" t="s">
        <v>229</v>
      </c>
      <c r="B8" s="282" t="str">
        <f>'таблица (всего)'!C152</f>
        <v xml:space="preserve">Реализация основных профессиональных образовательных программ среднего профессионального медицинского образования - программ подготовки специалистов среднего звена
</v>
      </c>
      <c r="C8" s="282" t="s">
        <v>180</v>
      </c>
      <c r="D8" s="227">
        <f>'таблица (всего)'!D152</f>
        <v>50256200</v>
      </c>
      <c r="E8" s="227">
        <f>'таблица (всего)'!E152</f>
        <v>51702353.490000002</v>
      </c>
      <c r="F8" s="227">
        <f>'таблица (всего)'!F152</f>
        <v>42667502.5</v>
      </c>
      <c r="G8" s="227">
        <f>'таблица (всего)'!G152</f>
        <v>40235155.979999997</v>
      </c>
      <c r="H8" s="227">
        <f>'таблица (всего)'!H152</f>
        <v>40235155.979999997</v>
      </c>
      <c r="I8" s="227">
        <f>'таблица (всего)'!I152</f>
        <v>40235144.469999999</v>
      </c>
      <c r="J8" s="227">
        <f>'таблица (всего)'!J152</f>
        <v>40235144.469999999</v>
      </c>
      <c r="K8" s="243">
        <f>D8-'таблица (всего)'!D152</f>
        <v>0</v>
      </c>
      <c r="L8" s="243">
        <f>E8-'таблица (всего)'!E152</f>
        <v>0</v>
      </c>
      <c r="M8" s="243">
        <f>F8-'таблица (всего)'!F152</f>
        <v>0</v>
      </c>
      <c r="N8" s="243">
        <f>G8-'таблица (всего)'!G152</f>
        <v>0</v>
      </c>
      <c r="O8" s="243">
        <f>H8-'таблица (всего)'!H152</f>
        <v>0</v>
      </c>
      <c r="P8" s="243">
        <f>I8-'таблица (всего)'!I152</f>
        <v>0</v>
      </c>
      <c r="Q8" s="243">
        <f>J8-'таблица (всего)'!J152</f>
        <v>0</v>
      </c>
    </row>
    <row r="9" spans="1:17" ht="74.25" customHeight="1" x14ac:dyDescent="0.25">
      <c r="A9" s="223" t="s">
        <v>306</v>
      </c>
      <c r="B9" s="282" t="str">
        <f>'таблица (всего)'!C153</f>
        <v xml:space="preserve">Предоставление стипендии студентам, обучающимся в областных государственных профессиональных образовательных организациях
</v>
      </c>
      <c r="C9" s="282" t="s">
        <v>180</v>
      </c>
      <c r="D9" s="227">
        <f>'таблица (всего)'!D153</f>
        <v>7172800</v>
      </c>
      <c r="E9" s="227">
        <f>'таблица (всего)'!E153</f>
        <v>7172796</v>
      </c>
      <c r="F9" s="227">
        <f>'таблица (всего)'!F153</f>
        <v>7172796</v>
      </c>
      <c r="G9" s="227">
        <f>'таблица (всего)'!G153</f>
        <v>8050644</v>
      </c>
      <c r="H9" s="227">
        <f>'таблица (всего)'!H153</f>
        <v>8050644</v>
      </c>
      <c r="I9" s="227">
        <f>'таблица (всего)'!I153</f>
        <v>8050644</v>
      </c>
      <c r="J9" s="227">
        <f>'таблица (всего)'!J153</f>
        <v>8050644</v>
      </c>
      <c r="K9" s="243">
        <f>D9-'таблица (всего)'!D153</f>
        <v>0</v>
      </c>
      <c r="L9" s="243">
        <f>E9-'таблица (всего)'!E153</f>
        <v>0</v>
      </c>
      <c r="M9" s="243">
        <f>F9-'таблица (всего)'!F153</f>
        <v>0</v>
      </c>
      <c r="N9" s="243">
        <f>G9-'таблица (всего)'!G153</f>
        <v>0</v>
      </c>
      <c r="O9" s="243">
        <f>H9-'таблица (всего)'!H153</f>
        <v>0</v>
      </c>
      <c r="P9" s="243">
        <f>I9-'таблица (всего)'!I153</f>
        <v>0</v>
      </c>
      <c r="Q9" s="243">
        <f>J9-'таблица (всего)'!J153</f>
        <v>0</v>
      </c>
    </row>
    <row r="10" spans="1:17" ht="51" customHeight="1" x14ac:dyDescent="0.25">
      <c r="A10" s="223"/>
      <c r="B10" s="282" t="str">
        <f>'таблица (всего)'!C154</f>
        <v>Предоставление жилых помещений в общежитиях</v>
      </c>
      <c r="C10" s="282" t="s">
        <v>180</v>
      </c>
      <c r="D10" s="227">
        <f>'таблица (всего)'!D154</f>
        <v>0</v>
      </c>
      <c r="E10" s="227">
        <f>'таблица (всего)'!E154</f>
        <v>0</v>
      </c>
      <c r="F10" s="227">
        <f>'таблица (всего)'!F154</f>
        <v>4932279</v>
      </c>
      <c r="G10" s="227">
        <f>'таблица (всего)'!G154</f>
        <v>3400443.76</v>
      </c>
      <c r="H10" s="227">
        <f>'таблица (всего)'!H154</f>
        <v>3400443.76</v>
      </c>
      <c r="I10" s="227">
        <f>'таблица (всего)'!I154</f>
        <v>3400444</v>
      </c>
      <c r="J10" s="227">
        <f>'таблица (всего)'!J154</f>
        <v>3400444</v>
      </c>
      <c r="K10" s="243">
        <f>D10-'таблица (всего)'!D154</f>
        <v>0</v>
      </c>
      <c r="L10" s="243">
        <f>E10-'таблица (всего)'!E154</f>
        <v>0</v>
      </c>
      <c r="M10" s="243">
        <f>F10-'таблица (всего)'!F154</f>
        <v>0</v>
      </c>
      <c r="N10" s="243">
        <f>G10-'таблица (всего)'!G154</f>
        <v>0</v>
      </c>
      <c r="O10" s="243">
        <f>H10-'таблица (всего)'!H154</f>
        <v>0</v>
      </c>
      <c r="P10" s="243">
        <f>I10-'таблица (всего)'!I154</f>
        <v>0</v>
      </c>
      <c r="Q10" s="243">
        <f>J10-'таблица (всего)'!J154</f>
        <v>0</v>
      </c>
    </row>
    <row r="11" spans="1:17" ht="92.25" customHeight="1" x14ac:dyDescent="0.25">
      <c r="A11" s="223"/>
      <c r="B11" s="282" t="str">
        <f>'таблица (всего)'!C156</f>
        <v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v>
      </c>
      <c r="C11" s="282" t="s">
        <v>180</v>
      </c>
      <c r="D11" s="227">
        <f>'таблица (всего)'!D156</f>
        <v>0</v>
      </c>
      <c r="E11" s="227">
        <f>'таблица (всего)'!E156</f>
        <v>16000</v>
      </c>
      <c r="F11" s="227">
        <f>'таблица (всего)'!F156</f>
        <v>80000</v>
      </c>
      <c r="G11" s="227">
        <f>'таблица (всего)'!G156</f>
        <v>0</v>
      </c>
      <c r="H11" s="227">
        <f>'таблица (всего)'!H156</f>
        <v>0</v>
      </c>
      <c r="I11" s="227">
        <f>'таблица (всего)'!I156</f>
        <v>0</v>
      </c>
      <c r="J11" s="227">
        <f>'таблица (всего)'!J156</f>
        <v>0</v>
      </c>
      <c r="K11" s="243">
        <f>D11-'таблица (всего)'!D156</f>
        <v>0</v>
      </c>
      <c r="L11" s="243">
        <f>E11-'таблица (всего)'!E156</f>
        <v>0</v>
      </c>
      <c r="M11" s="243">
        <f>F11-'таблица (всего)'!F156</f>
        <v>0</v>
      </c>
      <c r="N11" s="243">
        <f>G11-'таблица (всего)'!G156</f>
        <v>0</v>
      </c>
      <c r="O11" s="243">
        <f>H11-'таблица (всего)'!H156</f>
        <v>0</v>
      </c>
      <c r="P11" s="243">
        <f>I11-'таблица (всего)'!I156</f>
        <v>0</v>
      </c>
      <c r="Q11" s="243">
        <f>J11-'таблица (всего)'!J156</f>
        <v>0</v>
      </c>
    </row>
    <row r="13" spans="1:17" ht="105" customHeight="1" x14ac:dyDescent="0.25">
      <c r="A13" s="276"/>
      <c r="B13" s="277"/>
      <c r="C13" s="276"/>
      <c r="D13" s="278"/>
      <c r="E13" s="278"/>
      <c r="F13" s="278"/>
      <c r="G13" s="284"/>
      <c r="H13" s="284"/>
      <c r="I13" s="1011" t="s">
        <v>310</v>
      </c>
      <c r="J13" s="1011"/>
    </row>
    <row r="14" spans="1:17" ht="18.75" x14ac:dyDescent="0.25">
      <c r="A14" s="1012" t="s">
        <v>311</v>
      </c>
      <c r="B14" s="1012"/>
      <c r="C14" s="1012"/>
      <c r="D14" s="1012"/>
      <c r="E14" s="1012"/>
      <c r="F14" s="1012"/>
      <c r="G14" s="1012"/>
      <c r="H14" s="1012"/>
      <c r="I14" s="1012"/>
      <c r="J14" s="1012"/>
    </row>
    <row r="15" spans="1:17" ht="18.75" x14ac:dyDescent="0.25">
      <c r="A15" s="1012" t="s">
        <v>307</v>
      </c>
      <c r="B15" s="1012"/>
      <c r="C15" s="1012"/>
      <c r="D15" s="1012"/>
      <c r="E15" s="1012"/>
      <c r="F15" s="1012"/>
      <c r="G15" s="1012"/>
      <c r="H15" s="1012"/>
      <c r="I15" s="1012"/>
      <c r="J15" s="1012"/>
    </row>
    <row r="16" spans="1:17" ht="18.75" x14ac:dyDescent="0.25">
      <c r="A16" s="289"/>
      <c r="J16" s="79"/>
    </row>
    <row r="17" spans="1:10" x14ac:dyDescent="0.25">
      <c r="A17" s="1024" t="s">
        <v>245</v>
      </c>
      <c r="B17" s="1024" t="s">
        <v>293</v>
      </c>
      <c r="C17" s="1024" t="s">
        <v>175</v>
      </c>
      <c r="D17" s="1024">
        <v>2014</v>
      </c>
      <c r="E17" s="1024">
        <v>2015</v>
      </c>
      <c r="F17" s="1024">
        <v>2016</v>
      </c>
      <c r="G17" s="1024">
        <v>2017</v>
      </c>
      <c r="H17" s="1024">
        <v>2018</v>
      </c>
      <c r="I17" s="1024">
        <v>2019</v>
      </c>
      <c r="J17" s="1024">
        <v>2020</v>
      </c>
    </row>
    <row r="18" spans="1:10" x14ac:dyDescent="0.25">
      <c r="A18" s="1024"/>
      <c r="B18" s="1024"/>
      <c r="C18" s="1024"/>
      <c r="D18" s="1024"/>
      <c r="E18" s="1024"/>
      <c r="F18" s="1024"/>
      <c r="G18" s="1024"/>
      <c r="H18" s="1024"/>
      <c r="I18" s="1024"/>
      <c r="J18" s="1024"/>
    </row>
    <row r="19" spans="1:10" ht="110.25" customHeight="1" x14ac:dyDescent="0.25">
      <c r="A19" s="223" t="s">
        <v>229</v>
      </c>
      <c r="B19" s="282" t="str">
        <f>'таблица (всего)'!C159</f>
        <v xml:space="preserve">Реализация дополнительных профессиональных образовательных программ повышения квалификации и переподготовки кадров медицинских работников областных государственных учреждений здравоохранения
</v>
      </c>
      <c r="C19" s="282" t="s">
        <v>180</v>
      </c>
      <c r="D19" s="227">
        <f>'таблица (всего)'!D159</f>
        <v>9263400</v>
      </c>
      <c r="E19" s="227">
        <f>'таблица (всего)'!E159</f>
        <v>9263401.1799999997</v>
      </c>
      <c r="F19" s="227">
        <f>'таблица (всего)'!F159</f>
        <v>8390920.6099999994</v>
      </c>
      <c r="G19" s="227">
        <f>'таблица (всего)'!G159</f>
        <v>6722720.1200000001</v>
      </c>
      <c r="H19" s="227">
        <f>'таблица (всего)'!H159</f>
        <v>6722720.1200000001</v>
      </c>
      <c r="I19" s="227">
        <f>'таблица (всего)'!I159</f>
        <v>6723229.7999999998</v>
      </c>
      <c r="J19" s="227">
        <f>'таблица (всего)'!J159</f>
        <v>6723229.7999999998</v>
      </c>
    </row>
    <row r="21" spans="1:10" ht="105" customHeight="1" x14ac:dyDescent="0.25">
      <c r="A21" s="276"/>
      <c r="B21" s="277"/>
      <c r="C21" s="276"/>
      <c r="D21" s="278"/>
      <c r="E21" s="278"/>
      <c r="F21" s="278"/>
      <c r="G21" s="284"/>
      <c r="H21" s="284"/>
      <c r="I21" s="1011" t="s">
        <v>312</v>
      </c>
      <c r="J21" s="1011"/>
    </row>
    <row r="22" spans="1:10" ht="18.75" x14ac:dyDescent="0.25">
      <c r="A22" s="1012" t="s">
        <v>313</v>
      </c>
      <c r="B22" s="1012"/>
      <c r="C22" s="1012"/>
      <c r="D22" s="1012"/>
      <c r="E22" s="1012"/>
      <c r="F22" s="1012"/>
      <c r="G22" s="1012"/>
      <c r="H22" s="1012"/>
      <c r="I22" s="1012"/>
      <c r="J22" s="1012"/>
    </row>
    <row r="23" spans="1:10" ht="18.75" x14ac:dyDescent="0.25">
      <c r="A23" s="1012" t="s">
        <v>307</v>
      </c>
      <c r="B23" s="1012"/>
      <c r="C23" s="1012"/>
      <c r="D23" s="1012"/>
      <c r="E23" s="1012"/>
      <c r="F23" s="1012"/>
      <c r="G23" s="1012"/>
      <c r="H23" s="1012"/>
      <c r="I23" s="1012"/>
      <c r="J23" s="1012"/>
    </row>
    <row r="24" spans="1:10" ht="18.75" x14ac:dyDescent="0.25">
      <c r="A24" s="289"/>
      <c r="J24" s="79"/>
    </row>
    <row r="25" spans="1:10" x14ac:dyDescent="0.25">
      <c r="A25" s="1024" t="s">
        <v>245</v>
      </c>
      <c r="B25" s="1024" t="s">
        <v>293</v>
      </c>
      <c r="C25" s="1024" t="s">
        <v>175</v>
      </c>
      <c r="D25" s="1024">
        <v>2014</v>
      </c>
      <c r="E25" s="1024">
        <v>2015</v>
      </c>
      <c r="F25" s="1024">
        <v>2016</v>
      </c>
      <c r="G25" s="1024">
        <v>2017</v>
      </c>
      <c r="H25" s="1024">
        <v>2018</v>
      </c>
      <c r="I25" s="1024">
        <v>2019</v>
      </c>
      <c r="J25" s="1024">
        <v>2020</v>
      </c>
    </row>
    <row r="26" spans="1:10" x14ac:dyDescent="0.25">
      <c r="A26" s="1024"/>
      <c r="B26" s="1024"/>
      <c r="C26" s="1024"/>
      <c r="D26" s="1024"/>
      <c r="E26" s="1024"/>
      <c r="F26" s="1024"/>
      <c r="G26" s="1024"/>
      <c r="H26" s="1024"/>
      <c r="I26" s="1024"/>
      <c r="J26" s="1024"/>
    </row>
    <row r="27" spans="1:10" ht="153" x14ac:dyDescent="0.25">
      <c r="A27" s="223" t="s">
        <v>306</v>
      </c>
      <c r="B27" s="282" t="str">
        <f>'таблица (всего)'!C162</f>
        <v xml:space="preserve">Выплата единовременного денежного пособия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
</v>
      </c>
      <c r="C27" s="282" t="s">
        <v>180</v>
      </c>
      <c r="D27" s="227">
        <f>'таблица (всего)'!D162</f>
        <v>5500</v>
      </c>
      <c r="E27" s="227">
        <f>'таблица (всего)'!E162</f>
        <v>7500</v>
      </c>
      <c r="F27" s="227">
        <f>'таблица (всего)'!F162</f>
        <v>4000</v>
      </c>
      <c r="G27" s="227">
        <f>'таблица (всего)'!G162</f>
        <v>7500</v>
      </c>
      <c r="H27" s="227">
        <f>'таблица (всего)'!H162</f>
        <v>4500</v>
      </c>
      <c r="I27" s="227">
        <f>'таблица (всего)'!I162</f>
        <v>11000</v>
      </c>
      <c r="J27" s="227">
        <f>'таблица (всего)'!J162</f>
        <v>11000</v>
      </c>
    </row>
    <row r="28" spans="1:10" ht="178.5" x14ac:dyDescent="0.25">
      <c r="A28" s="223" t="s">
        <v>258</v>
      </c>
      <c r="B28" s="282" t="str">
        <f>'таблица (всего)'!C163</f>
        <v xml:space="preserve">Выплата денежной компенсации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родителей, для приобретения одежды, обуви, мягкого инвентаря и оборудования
</v>
      </c>
      <c r="C28" s="282" t="s">
        <v>180</v>
      </c>
      <c r="D28" s="227">
        <f>'таблица (всего)'!D163</f>
        <v>451600</v>
      </c>
      <c r="E28" s="227">
        <f>'таблица (всего)'!E163</f>
        <v>646590</v>
      </c>
      <c r="F28" s="227">
        <f>'таблица (всего)'!F163</f>
        <v>344848</v>
      </c>
      <c r="G28" s="227">
        <f>'таблица (всего)'!G163</f>
        <v>646590</v>
      </c>
      <c r="H28" s="227">
        <f>'таблица (всего)'!H163</f>
        <v>387954</v>
      </c>
      <c r="I28" s="227">
        <f>'таблица (всего)'!I163</f>
        <v>948332</v>
      </c>
      <c r="J28" s="227">
        <f>'таблица (всего)'!J163</f>
        <v>948332</v>
      </c>
    </row>
    <row r="29" spans="1:10" ht="204" x14ac:dyDescent="0.25">
      <c r="A29" s="223"/>
      <c r="B29" s="282" t="str">
        <f>'таблица (всего)'!C164</f>
        <v>Предоставление полного государственного обеспечения и дополнительных гарантий по социальной поддержке детей-сирот и детей, оставшихся без попечения родителей, и лиц из числа детей-сирот и детей, оставшихся без попечения родителей,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</v>
      </c>
      <c r="C29" s="282" t="s">
        <v>180</v>
      </c>
      <c r="D29" s="227">
        <f>'таблица (всего)'!D164</f>
        <v>0</v>
      </c>
      <c r="E29" s="227">
        <f>'таблица (всего)'!E164</f>
        <v>0</v>
      </c>
      <c r="F29" s="227">
        <f>'таблица (всего)'!F164</f>
        <v>3395073</v>
      </c>
      <c r="G29" s="227">
        <f>'таблица (всего)'!G164</f>
        <v>3395073</v>
      </c>
      <c r="H29" s="227">
        <f>'таблица (всего)'!H164</f>
        <v>3395073</v>
      </c>
      <c r="I29" s="227">
        <f>'таблица (всего)'!I164</f>
        <v>3395073</v>
      </c>
      <c r="J29" s="227">
        <f>'таблица (всего)'!J164</f>
        <v>3395073</v>
      </c>
    </row>
  </sheetData>
  <mergeCells count="39">
    <mergeCell ref="J25:J26"/>
    <mergeCell ref="A23:J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2:J22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I21:J21"/>
    <mergeCell ref="A15:J15"/>
    <mergeCell ref="I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I13:J13"/>
    <mergeCell ref="A14:J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6"/>
  <sheetViews>
    <sheetView zoomScale="90" zoomScaleNormal="90" workbookViewId="0">
      <selection activeCell="I22" sqref="I22"/>
    </sheetView>
  </sheetViews>
  <sheetFormatPr defaultRowHeight="15" x14ac:dyDescent="0.25"/>
  <cols>
    <col min="1" max="1" width="6.28515625" style="284" customWidth="1"/>
    <col min="2" max="2" width="27.28515625" style="284" customWidth="1"/>
    <col min="3" max="3" width="17.5703125" style="284" customWidth="1"/>
    <col min="4" max="4" width="9.140625" style="284"/>
    <col min="5" max="11" width="18.140625" style="284" customWidth="1"/>
  </cols>
  <sheetData>
    <row r="1" spans="1:18" ht="174.75" customHeight="1" x14ac:dyDescent="0.25">
      <c r="A1" s="276"/>
      <c r="B1" s="277"/>
      <c r="C1" s="276"/>
      <c r="D1" s="278"/>
      <c r="E1" s="278"/>
      <c r="F1" s="278"/>
      <c r="I1" s="278"/>
      <c r="J1" s="1011" t="s">
        <v>291</v>
      </c>
      <c r="K1" s="1011"/>
    </row>
    <row r="2" spans="1:18" ht="18.75" customHeight="1" x14ac:dyDescent="0.25">
      <c r="A2" s="1012" t="s">
        <v>290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</row>
    <row r="3" spans="1:18" ht="18.75" x14ac:dyDescent="0.25">
      <c r="A3" s="280"/>
      <c r="B3" s="280"/>
      <c r="C3" s="280"/>
      <c r="D3" s="280"/>
      <c r="E3" s="280"/>
      <c r="F3" s="280"/>
      <c r="G3" s="280"/>
      <c r="I3" s="280"/>
      <c r="J3" s="280"/>
      <c r="K3" s="79" t="s">
        <v>172</v>
      </c>
    </row>
    <row r="4" spans="1:18" ht="38.25" x14ac:dyDescent="0.25">
      <c r="A4" s="283" t="s">
        <v>245</v>
      </c>
      <c r="B4" s="283" t="s">
        <v>266</v>
      </c>
      <c r="C4" s="283" t="s">
        <v>175</v>
      </c>
      <c r="D4" s="283" t="s">
        <v>288</v>
      </c>
      <c r="E4" s="283">
        <v>2014</v>
      </c>
      <c r="F4" s="283">
        <v>2015</v>
      </c>
      <c r="G4" s="283">
        <v>2016</v>
      </c>
      <c r="H4" s="283">
        <v>2017</v>
      </c>
      <c r="I4" s="283">
        <v>2018</v>
      </c>
      <c r="J4" s="283">
        <v>2019</v>
      </c>
      <c r="K4" s="283">
        <v>2020</v>
      </c>
    </row>
    <row r="5" spans="1:18" ht="51" x14ac:dyDescent="0.25">
      <c r="A5" s="223" t="s">
        <v>231</v>
      </c>
      <c r="B5" s="279" t="s">
        <v>289</v>
      </c>
      <c r="C5" s="281"/>
      <c r="D5" s="281"/>
      <c r="E5" s="281"/>
      <c r="F5" s="281"/>
      <c r="G5" s="281"/>
      <c r="H5" s="281"/>
      <c r="I5" s="281"/>
      <c r="J5" s="281"/>
      <c r="K5" s="281"/>
    </row>
    <row r="6" spans="1:18" ht="38.25" x14ac:dyDescent="0.25">
      <c r="A6" s="285" t="s">
        <v>240</v>
      </c>
      <c r="B6" s="223"/>
      <c r="C6" s="279" t="s">
        <v>180</v>
      </c>
      <c r="D6" s="223" t="s">
        <v>292</v>
      </c>
      <c r="E6" s="286">
        <f>'таблица (всего)'!D180</f>
        <v>45327400</v>
      </c>
      <c r="F6" s="286">
        <f>'таблица (всего)'!E180</f>
        <v>38825812.460000001</v>
      </c>
      <c r="G6" s="286">
        <f>'таблица (всего)'!F180</f>
        <v>37377585.719999999</v>
      </c>
      <c r="H6" s="286">
        <f>'таблица (всего)'!G180</f>
        <v>34939085.729999997</v>
      </c>
      <c r="I6" s="286">
        <f>'таблица (всего)'!H180</f>
        <v>34939085.729999997</v>
      </c>
      <c r="J6" s="286">
        <f>'таблица (всего)'!I180</f>
        <v>34939085.729999997</v>
      </c>
      <c r="K6" s="286">
        <f>'таблица (всего)'!J180</f>
        <v>34939085.729999997</v>
      </c>
      <c r="L6" s="243">
        <f>E6-'таблица (всего)'!D180</f>
        <v>0</v>
      </c>
      <c r="M6" s="243">
        <f>F6-'таблица (всего)'!E180</f>
        <v>0</v>
      </c>
      <c r="N6" s="243">
        <f>G6-'таблица (всего)'!F180</f>
        <v>0</v>
      </c>
      <c r="O6" s="243">
        <f>H6-'таблица (всего)'!G180</f>
        <v>0</v>
      </c>
      <c r="P6" s="243">
        <f>I6-'таблица (всего)'!H180</f>
        <v>0</v>
      </c>
      <c r="Q6" s="243">
        <f>J6-'таблица (всего)'!I180</f>
        <v>0</v>
      </c>
      <c r="R6" s="243">
        <f>K6-'таблица (всего)'!J180</f>
        <v>0</v>
      </c>
    </row>
  </sheetData>
  <mergeCells count="2">
    <mergeCell ref="J1:K1"/>
    <mergeCell ref="A2:K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5"/>
  <sheetViews>
    <sheetView topLeftCell="A10" workbookViewId="0">
      <selection activeCell="L9" sqref="L9"/>
    </sheetView>
  </sheetViews>
  <sheetFormatPr defaultRowHeight="15" x14ac:dyDescent="0.25"/>
  <cols>
    <col min="2" max="2" width="27.42578125" customWidth="1"/>
    <col min="3" max="3" width="15.5703125" customWidth="1"/>
    <col min="4" max="10" width="18.140625" customWidth="1"/>
    <col min="11" max="17" width="12.5703125" bestFit="1" customWidth="1"/>
  </cols>
  <sheetData>
    <row r="1" spans="1:17" ht="47.25" customHeight="1" x14ac:dyDescent="0.25">
      <c r="A1" s="276"/>
      <c r="B1" s="277"/>
      <c r="C1" s="276"/>
      <c r="D1" s="278"/>
      <c r="E1" s="278"/>
      <c r="F1" s="278"/>
      <c r="G1" s="284"/>
      <c r="H1" s="284"/>
      <c r="I1" s="1012" t="s">
        <v>299</v>
      </c>
      <c r="J1" s="1012"/>
    </row>
    <row r="2" spans="1:17" ht="18.75" customHeight="1" x14ac:dyDescent="0.25">
      <c r="A2" s="1012" t="s">
        <v>297</v>
      </c>
      <c r="B2" s="1012"/>
      <c r="C2" s="1012"/>
      <c r="D2" s="1012"/>
      <c r="E2" s="1012"/>
      <c r="F2" s="1012"/>
      <c r="G2" s="1012"/>
      <c r="H2" s="1012"/>
      <c r="I2" s="1012"/>
      <c r="J2" s="1012"/>
      <c r="K2" s="218"/>
    </row>
    <row r="3" spans="1:17" ht="18.75" x14ac:dyDescent="0.25">
      <c r="J3" s="79" t="s">
        <v>172</v>
      </c>
    </row>
    <row r="4" spans="1:17" ht="35.25" customHeight="1" x14ac:dyDescent="0.25">
      <c r="A4" s="1024" t="s">
        <v>245</v>
      </c>
      <c r="B4" s="1024" t="s">
        <v>293</v>
      </c>
      <c r="C4" s="1024" t="s">
        <v>175</v>
      </c>
      <c r="D4" s="1024">
        <v>2014</v>
      </c>
      <c r="E4" s="1024">
        <v>2015</v>
      </c>
      <c r="F4" s="1024">
        <v>2016</v>
      </c>
      <c r="G4" s="1024">
        <v>2017</v>
      </c>
      <c r="H4" s="1024">
        <v>2018</v>
      </c>
      <c r="I4" s="1024">
        <v>2019</v>
      </c>
      <c r="J4" s="1024">
        <v>2020</v>
      </c>
    </row>
    <row r="5" spans="1:17" x14ac:dyDescent="0.25">
      <c r="A5" s="1024"/>
      <c r="B5" s="1024"/>
      <c r="C5" s="1024"/>
      <c r="D5" s="1024"/>
      <c r="E5" s="1024"/>
      <c r="F5" s="1024"/>
      <c r="G5" s="1024"/>
      <c r="H5" s="1024"/>
      <c r="I5" s="1024"/>
      <c r="J5" s="1024"/>
    </row>
    <row r="6" spans="1:17" ht="42" customHeight="1" x14ac:dyDescent="0.25">
      <c r="A6" s="1025" t="s">
        <v>294</v>
      </c>
      <c r="B6" s="282" t="s">
        <v>295</v>
      </c>
      <c r="C6" s="1020" t="s">
        <v>180</v>
      </c>
      <c r="D6" s="227">
        <f>D7</f>
        <v>31742200</v>
      </c>
      <c r="E6" s="227">
        <f t="shared" ref="E6:J6" si="0">E7</f>
        <v>32245329.760000002</v>
      </c>
      <c r="F6" s="227">
        <f t="shared" si="0"/>
        <v>28600000</v>
      </c>
      <c r="G6" s="227">
        <f t="shared" si="0"/>
        <v>28600000</v>
      </c>
      <c r="H6" s="227">
        <f t="shared" si="0"/>
        <v>28600000</v>
      </c>
      <c r="I6" s="227">
        <f t="shared" si="0"/>
        <v>28600000</v>
      </c>
      <c r="J6" s="227">
        <f t="shared" si="0"/>
        <v>28600000</v>
      </c>
      <c r="K6" s="243">
        <f>D6-'таблица (всего)'!D168</f>
        <v>0</v>
      </c>
      <c r="L6" s="243">
        <f>E6-'таблица (всего)'!E168</f>
        <v>0</v>
      </c>
      <c r="M6" s="243">
        <f>F6-'таблица (всего)'!F168</f>
        <v>0</v>
      </c>
      <c r="N6" s="243">
        <f>G6-'таблица (всего)'!G168</f>
        <v>0</v>
      </c>
      <c r="O6" s="243">
        <f>H6-'таблица (всего)'!H168</f>
        <v>0</v>
      </c>
      <c r="P6" s="243">
        <f>I6-'таблица (всего)'!I168</f>
        <v>0</v>
      </c>
      <c r="Q6" s="243">
        <f>J6-'таблица (всего)'!J168</f>
        <v>0</v>
      </c>
    </row>
    <row r="7" spans="1:17" ht="27.75" customHeight="1" x14ac:dyDescent="0.25">
      <c r="A7" s="1025"/>
      <c r="B7" s="282" t="s">
        <v>296</v>
      </c>
      <c r="C7" s="1020"/>
      <c r="D7" s="227">
        <f>D9</f>
        <v>31742200</v>
      </c>
      <c r="E7" s="227">
        <f t="shared" ref="E7:J7" si="1">E9</f>
        <v>32245329.760000002</v>
      </c>
      <c r="F7" s="227">
        <f t="shared" si="1"/>
        <v>28600000</v>
      </c>
      <c r="G7" s="227">
        <f t="shared" si="1"/>
        <v>28600000</v>
      </c>
      <c r="H7" s="227">
        <f t="shared" si="1"/>
        <v>28600000</v>
      </c>
      <c r="I7" s="227">
        <f t="shared" si="1"/>
        <v>28600000</v>
      </c>
      <c r="J7" s="227">
        <f t="shared" si="1"/>
        <v>28600000</v>
      </c>
    </row>
    <row r="8" spans="1:17" ht="18.75" customHeight="1" x14ac:dyDescent="0.25">
      <c r="A8" s="1025"/>
      <c r="B8" s="282" t="s">
        <v>178</v>
      </c>
      <c r="C8" s="1020"/>
      <c r="D8" s="227">
        <v>0</v>
      </c>
      <c r="E8" s="227">
        <v>0</v>
      </c>
      <c r="F8" s="227">
        <v>0</v>
      </c>
      <c r="G8" s="227">
        <v>0</v>
      </c>
      <c r="H8" s="227">
        <v>0</v>
      </c>
      <c r="I8" s="227">
        <v>0</v>
      </c>
      <c r="J8" s="227">
        <v>0</v>
      </c>
    </row>
    <row r="9" spans="1:17" ht="19.5" customHeight="1" x14ac:dyDescent="0.25">
      <c r="A9" s="1025"/>
      <c r="B9" s="282" t="s">
        <v>177</v>
      </c>
      <c r="C9" s="1020"/>
      <c r="D9" s="227">
        <f>'таблица (всего)'!D168</f>
        <v>31742200</v>
      </c>
      <c r="E9" s="227">
        <f>'таблица (всего)'!E168</f>
        <v>32245329.760000002</v>
      </c>
      <c r="F9" s="227">
        <f>'таблица (всего)'!F168</f>
        <v>28600000</v>
      </c>
      <c r="G9" s="227">
        <f>'таблица (всего)'!G168</f>
        <v>28600000</v>
      </c>
      <c r="H9" s="227">
        <f>'таблица (всего)'!H168</f>
        <v>28600000</v>
      </c>
      <c r="I9" s="227">
        <f>'таблица (всего)'!I168</f>
        <v>28600000</v>
      </c>
      <c r="J9" s="227">
        <f>'таблица (всего)'!J168</f>
        <v>28600000</v>
      </c>
    </row>
    <row r="11" spans="1:17" ht="48.75" customHeight="1" x14ac:dyDescent="0.25">
      <c r="I11" s="1012" t="s">
        <v>300</v>
      </c>
      <c r="J11" s="1012"/>
    </row>
    <row r="12" spans="1:17" ht="15.75" customHeight="1" x14ac:dyDescent="0.3">
      <c r="A12" s="1026" t="s">
        <v>301</v>
      </c>
      <c r="B12" s="1026"/>
      <c r="C12" s="1026"/>
      <c r="D12" s="1026"/>
      <c r="E12" s="1026"/>
      <c r="F12" s="1026"/>
      <c r="G12" s="1026"/>
      <c r="H12" s="1026"/>
      <c r="I12" s="1026"/>
      <c r="J12" s="1026"/>
      <c r="K12" s="288"/>
    </row>
    <row r="13" spans="1:17" ht="18.75" x14ac:dyDescent="0.25">
      <c r="J13" s="79" t="s">
        <v>172</v>
      </c>
    </row>
    <row r="14" spans="1:17" x14ac:dyDescent="0.25">
      <c r="A14" s="1024" t="s">
        <v>245</v>
      </c>
      <c r="B14" s="1024" t="s">
        <v>293</v>
      </c>
      <c r="C14" s="1024" t="s">
        <v>175</v>
      </c>
      <c r="D14" s="1024">
        <v>2014</v>
      </c>
      <c r="E14" s="1024">
        <v>2015</v>
      </c>
      <c r="F14" s="1024">
        <v>2016</v>
      </c>
      <c r="G14" s="1024">
        <v>2017</v>
      </c>
      <c r="H14" s="1024">
        <v>2018</v>
      </c>
      <c r="I14" s="1024">
        <v>2019</v>
      </c>
      <c r="J14" s="1024">
        <v>2020</v>
      </c>
    </row>
    <row r="15" spans="1:17" x14ac:dyDescent="0.25">
      <c r="A15" s="1024"/>
      <c r="B15" s="1024"/>
      <c r="C15" s="1024"/>
      <c r="D15" s="1024"/>
      <c r="E15" s="1024"/>
      <c r="F15" s="1024"/>
      <c r="G15" s="1024"/>
      <c r="H15" s="1024"/>
      <c r="I15" s="1024"/>
      <c r="J15" s="1024"/>
    </row>
    <row r="16" spans="1:17" ht="76.5" x14ac:dyDescent="0.25">
      <c r="A16" s="1027" t="s">
        <v>236</v>
      </c>
      <c r="B16" s="282" t="s">
        <v>26</v>
      </c>
      <c r="C16" s="1030" t="s">
        <v>180</v>
      </c>
      <c r="D16" s="227">
        <f>D17+D20</f>
        <v>1150000</v>
      </c>
      <c r="E16" s="227">
        <f t="shared" ref="E16:J16" si="2">E17+E20</f>
        <v>0</v>
      </c>
      <c r="F16" s="227">
        <f t="shared" si="2"/>
        <v>0</v>
      </c>
      <c r="G16" s="227">
        <f t="shared" si="2"/>
        <v>0</v>
      </c>
      <c r="H16" s="227">
        <f t="shared" si="2"/>
        <v>0</v>
      </c>
      <c r="I16" s="227">
        <f t="shared" si="2"/>
        <v>0</v>
      </c>
      <c r="J16" s="227">
        <f t="shared" si="2"/>
        <v>0</v>
      </c>
      <c r="K16" s="243">
        <f>D16-'таблица (всего)'!D171</f>
        <v>0</v>
      </c>
      <c r="L16" s="243">
        <f>E16-'таблица (всего)'!E171</f>
        <v>0</v>
      </c>
      <c r="M16" s="243">
        <f>F16-'таблица (всего)'!F171</f>
        <v>0</v>
      </c>
      <c r="N16" s="243">
        <f>G16-'таблица (всего)'!G171</f>
        <v>0</v>
      </c>
      <c r="O16" s="243">
        <f>H16-'таблица (всего)'!H171</f>
        <v>0</v>
      </c>
      <c r="P16" s="243">
        <f>I16-'таблица (всего)'!I171</f>
        <v>0</v>
      </c>
      <c r="Q16" s="243">
        <f>J16-'таблица (всего)'!J171</f>
        <v>0</v>
      </c>
    </row>
    <row r="17" spans="1:17" ht="25.5" x14ac:dyDescent="0.25">
      <c r="A17" s="1028"/>
      <c r="B17" s="282" t="s">
        <v>296</v>
      </c>
      <c r="C17" s="1031"/>
      <c r="D17" s="227">
        <f>D18+D19</f>
        <v>1150000</v>
      </c>
      <c r="E17" s="227">
        <f t="shared" ref="E17:J17" si="3">E18+E19</f>
        <v>0</v>
      </c>
      <c r="F17" s="227">
        <f t="shared" si="3"/>
        <v>0</v>
      </c>
      <c r="G17" s="227">
        <f t="shared" si="3"/>
        <v>0</v>
      </c>
      <c r="H17" s="227">
        <f t="shared" si="3"/>
        <v>0</v>
      </c>
      <c r="I17" s="227">
        <f t="shared" si="3"/>
        <v>0</v>
      </c>
      <c r="J17" s="227">
        <f t="shared" si="3"/>
        <v>0</v>
      </c>
      <c r="K17" s="244"/>
      <c r="L17" s="244"/>
      <c r="M17" s="244"/>
      <c r="N17" s="244"/>
      <c r="O17" s="244"/>
      <c r="P17" s="244"/>
      <c r="Q17" s="244"/>
    </row>
    <row r="18" spans="1:17" x14ac:dyDescent="0.25">
      <c r="A18" s="1028"/>
      <c r="B18" s="282" t="s">
        <v>178</v>
      </c>
      <c r="C18" s="1031"/>
      <c r="D18" s="227">
        <v>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44"/>
      <c r="L18" s="244"/>
      <c r="M18" s="244"/>
      <c r="N18" s="244"/>
      <c r="O18" s="244"/>
      <c r="P18" s="244"/>
      <c r="Q18" s="244"/>
    </row>
    <row r="19" spans="1:17" x14ac:dyDescent="0.25">
      <c r="A19" s="1028"/>
      <c r="B19" s="282" t="s">
        <v>177</v>
      </c>
      <c r="C19" s="1031"/>
      <c r="D19" s="227">
        <f>'таблица (всего)'!D171</f>
        <v>1150000</v>
      </c>
      <c r="E19" s="227">
        <f>'таблица (всего)'!E171</f>
        <v>0</v>
      </c>
      <c r="F19" s="227">
        <f>'таблица (всего)'!F171</f>
        <v>0</v>
      </c>
      <c r="G19" s="227">
        <f>'таблица (всего)'!G171</f>
        <v>0</v>
      </c>
      <c r="H19" s="227">
        <f>'таблица (всего)'!H171</f>
        <v>0</v>
      </c>
      <c r="I19" s="227">
        <f>'таблица (всего)'!I171</f>
        <v>0</v>
      </c>
      <c r="J19" s="227">
        <f>'таблица (всего)'!J171</f>
        <v>0</v>
      </c>
      <c r="K19" s="244"/>
      <c r="L19" s="244"/>
      <c r="M19" s="244"/>
      <c r="N19" s="244"/>
      <c r="O19" s="244"/>
      <c r="P19" s="244"/>
      <c r="Q19" s="244"/>
    </row>
    <row r="20" spans="1:17" ht="18" customHeight="1" x14ac:dyDescent="0.25">
      <c r="A20" s="1029"/>
      <c r="B20" s="282" t="s">
        <v>298</v>
      </c>
      <c r="C20" s="1032"/>
      <c r="D20" s="287">
        <v>0</v>
      </c>
      <c r="E20" s="287">
        <v>0</v>
      </c>
      <c r="F20" s="287">
        <v>0</v>
      </c>
      <c r="G20" s="287">
        <v>0</v>
      </c>
      <c r="H20" s="287">
        <v>0</v>
      </c>
      <c r="I20" s="287">
        <v>0</v>
      </c>
      <c r="J20" s="287">
        <v>0</v>
      </c>
      <c r="K20" s="244"/>
      <c r="L20" s="244"/>
      <c r="M20" s="244"/>
      <c r="N20" s="244"/>
      <c r="O20" s="244"/>
      <c r="P20" s="244"/>
      <c r="Q20" s="244"/>
    </row>
    <row r="21" spans="1:17" ht="96" customHeight="1" x14ac:dyDescent="0.25">
      <c r="A21" s="1027" t="s">
        <v>238</v>
      </c>
      <c r="B21" s="282" t="s">
        <v>302</v>
      </c>
      <c r="C21" s="1030" t="s">
        <v>180</v>
      </c>
      <c r="D21" s="227">
        <f>D22+D25</f>
        <v>0</v>
      </c>
      <c r="E21" s="227">
        <f t="shared" ref="E21:J21" si="4">E22+E25</f>
        <v>0</v>
      </c>
      <c r="F21" s="227">
        <f t="shared" si="4"/>
        <v>1500000</v>
      </c>
      <c r="G21" s="227">
        <f t="shared" si="4"/>
        <v>0</v>
      </c>
      <c r="H21" s="227">
        <f t="shared" si="4"/>
        <v>0</v>
      </c>
      <c r="I21" s="227">
        <f t="shared" si="4"/>
        <v>0</v>
      </c>
      <c r="J21" s="227">
        <f t="shared" si="4"/>
        <v>0</v>
      </c>
      <c r="K21" s="243">
        <f>D21-'таблица (всего)'!D172</f>
        <v>0</v>
      </c>
      <c r="L21" s="243">
        <f>E21-'таблица (всего)'!E172</f>
        <v>0</v>
      </c>
      <c r="M21" s="243">
        <f>F21-'таблица (всего)'!F172</f>
        <v>0</v>
      </c>
      <c r="N21" s="243">
        <f>G21-'таблица (всего)'!G172</f>
        <v>0</v>
      </c>
      <c r="O21" s="243">
        <f>H21-'таблица (всего)'!H172</f>
        <v>0</v>
      </c>
      <c r="P21" s="243">
        <f>I21-'таблица (всего)'!I172</f>
        <v>0</v>
      </c>
      <c r="Q21" s="243">
        <f>J21-'таблица (всего)'!J172</f>
        <v>0</v>
      </c>
    </row>
    <row r="22" spans="1:17" ht="25.5" x14ac:dyDescent="0.25">
      <c r="A22" s="1028"/>
      <c r="B22" s="282" t="s">
        <v>296</v>
      </c>
      <c r="C22" s="1031"/>
      <c r="D22" s="227">
        <f>D23+D24</f>
        <v>0</v>
      </c>
      <c r="E22" s="227">
        <f t="shared" ref="E22:J22" si="5">E23+E24</f>
        <v>0</v>
      </c>
      <c r="F22" s="227">
        <f t="shared" si="5"/>
        <v>1500000</v>
      </c>
      <c r="G22" s="227">
        <f t="shared" si="5"/>
        <v>0</v>
      </c>
      <c r="H22" s="227">
        <f t="shared" si="5"/>
        <v>0</v>
      </c>
      <c r="I22" s="227">
        <f t="shared" si="5"/>
        <v>0</v>
      </c>
      <c r="J22" s="227">
        <f t="shared" si="5"/>
        <v>0</v>
      </c>
    </row>
    <row r="23" spans="1:17" x14ac:dyDescent="0.25">
      <c r="A23" s="1028"/>
      <c r="B23" s="282" t="s">
        <v>178</v>
      </c>
      <c r="C23" s="1031"/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</row>
    <row r="24" spans="1:17" x14ac:dyDescent="0.25">
      <c r="A24" s="1028"/>
      <c r="B24" s="282" t="s">
        <v>177</v>
      </c>
      <c r="C24" s="1031"/>
      <c r="D24" s="227">
        <f>'таблица (всего)'!D172</f>
        <v>0</v>
      </c>
      <c r="E24" s="227">
        <f>'таблица (всего)'!E172</f>
        <v>0</v>
      </c>
      <c r="F24" s="227">
        <f>'таблица (всего)'!F172</f>
        <v>1500000</v>
      </c>
      <c r="G24" s="227">
        <f>'таблица (всего)'!G172</f>
        <v>0</v>
      </c>
      <c r="H24" s="227">
        <f>'таблица (всего)'!H172</f>
        <v>0</v>
      </c>
      <c r="I24" s="227">
        <f>'таблица (всего)'!I172</f>
        <v>0</v>
      </c>
      <c r="J24" s="227">
        <f>'таблица (всего)'!J172</f>
        <v>0</v>
      </c>
    </row>
    <row r="25" spans="1:17" ht="18" customHeight="1" x14ac:dyDescent="0.25">
      <c r="A25" s="1029"/>
      <c r="B25" s="282" t="s">
        <v>298</v>
      </c>
      <c r="C25" s="1032"/>
      <c r="D25" s="287">
        <v>0</v>
      </c>
      <c r="E25" s="287">
        <v>0</v>
      </c>
      <c r="F25" s="287">
        <v>0</v>
      </c>
      <c r="G25" s="287">
        <v>0</v>
      </c>
      <c r="H25" s="287">
        <v>0</v>
      </c>
      <c r="I25" s="287">
        <v>0</v>
      </c>
      <c r="J25" s="287">
        <v>0</v>
      </c>
    </row>
  </sheetData>
  <mergeCells count="30">
    <mergeCell ref="I11:J11"/>
    <mergeCell ref="A12:J12"/>
    <mergeCell ref="A21:A25"/>
    <mergeCell ref="C21:C25"/>
    <mergeCell ref="A2:J2"/>
    <mergeCell ref="H14:H15"/>
    <mergeCell ref="I14:I15"/>
    <mergeCell ref="J14:J15"/>
    <mergeCell ref="A16:A20"/>
    <mergeCell ref="C16:C20"/>
    <mergeCell ref="C4:C5"/>
    <mergeCell ref="D4:D5"/>
    <mergeCell ref="E4:E5"/>
    <mergeCell ref="F4:F5"/>
    <mergeCell ref="I1:J1"/>
    <mergeCell ref="A14:A15"/>
    <mergeCell ref="B14:B15"/>
    <mergeCell ref="C14:C15"/>
    <mergeCell ref="D14:D15"/>
    <mergeCell ref="E14:E15"/>
    <mergeCell ref="F14:F15"/>
    <mergeCell ref="G14:G15"/>
    <mergeCell ref="G4:G5"/>
    <mergeCell ref="A6:A9"/>
    <mergeCell ref="C6:C9"/>
    <mergeCell ref="H4:H5"/>
    <mergeCell ref="I4:I5"/>
    <mergeCell ref="J4:J5"/>
    <mergeCell ref="A4:A5"/>
    <mergeCell ref="B4:B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7"/>
  <sheetViews>
    <sheetView workbookViewId="0">
      <selection activeCell="H11" sqref="H11"/>
    </sheetView>
  </sheetViews>
  <sheetFormatPr defaultRowHeight="15" x14ac:dyDescent="0.25"/>
  <cols>
    <col min="2" max="2" width="27.7109375" customWidth="1"/>
    <col min="3" max="10" width="18.140625" customWidth="1"/>
  </cols>
  <sheetData>
    <row r="1" spans="1:17" ht="143.25" customHeight="1" x14ac:dyDescent="0.25">
      <c r="A1" s="276"/>
      <c r="B1" s="277"/>
      <c r="C1" s="276"/>
      <c r="D1" s="278"/>
      <c r="E1" s="278"/>
      <c r="F1" s="278"/>
      <c r="G1" s="284"/>
      <c r="H1" s="284"/>
      <c r="I1" s="1011" t="s">
        <v>304</v>
      </c>
      <c r="J1" s="1011"/>
    </row>
    <row r="2" spans="1:17" ht="18.75" x14ac:dyDescent="0.25">
      <c r="A2" s="1012" t="s">
        <v>305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customHeight="1" x14ac:dyDescent="0.25">
      <c r="A3" s="1012" t="s">
        <v>303</v>
      </c>
      <c r="B3" s="1012"/>
      <c r="C3" s="1012"/>
      <c r="D3" s="1012"/>
      <c r="E3" s="1012"/>
      <c r="F3" s="1012"/>
      <c r="G3" s="1012"/>
      <c r="H3" s="1012"/>
      <c r="I3" s="1012"/>
      <c r="J3" s="1012"/>
    </row>
    <row r="4" spans="1:17" ht="18.75" x14ac:dyDescent="0.25">
      <c r="A4" s="289"/>
      <c r="J4" s="79" t="s">
        <v>172</v>
      </c>
    </row>
    <row r="5" spans="1:17" x14ac:dyDescent="0.25">
      <c r="A5" s="1024" t="s">
        <v>245</v>
      </c>
      <c r="B5" s="1024" t="s">
        <v>293</v>
      </c>
      <c r="C5" s="1024" t="s">
        <v>175</v>
      </c>
      <c r="D5" s="1024">
        <v>2014</v>
      </c>
      <c r="E5" s="1024">
        <v>2015</v>
      </c>
      <c r="F5" s="1024">
        <v>2016</v>
      </c>
      <c r="G5" s="1024">
        <v>2017</v>
      </c>
      <c r="H5" s="1024">
        <v>2018</v>
      </c>
      <c r="I5" s="1024">
        <v>2019</v>
      </c>
      <c r="J5" s="1024">
        <v>2020</v>
      </c>
    </row>
    <row r="6" spans="1:17" x14ac:dyDescent="0.25">
      <c r="A6" s="1024"/>
      <c r="B6" s="1024"/>
      <c r="C6" s="1024"/>
      <c r="D6" s="1024"/>
      <c r="E6" s="1024"/>
      <c r="F6" s="1024"/>
      <c r="G6" s="1024"/>
      <c r="H6" s="1024"/>
      <c r="I6" s="1024"/>
      <c r="J6" s="1024"/>
    </row>
    <row r="7" spans="1:17" ht="57" customHeight="1" x14ac:dyDescent="0.25">
      <c r="A7" s="223" t="s">
        <v>229</v>
      </c>
      <c r="B7" s="282" t="str">
        <f>'таблица (всего)'!C176</f>
        <v xml:space="preserve">Подготовка населения и организаций к действиям в чрезвычайной ситуации в мирное и военное время
</v>
      </c>
      <c r="C7" s="282" t="s">
        <v>180</v>
      </c>
      <c r="D7" s="227">
        <f>'таблица (всего)'!D176</f>
        <v>564700</v>
      </c>
      <c r="E7" s="227">
        <f>'таблица (всего)'!E176</f>
        <v>503965</v>
      </c>
      <c r="F7" s="227">
        <f>'таблица (всего)'!F176</f>
        <v>503965</v>
      </c>
      <c r="G7" s="227">
        <f>'таблица (всего)'!G176</f>
        <v>503965</v>
      </c>
      <c r="H7" s="227">
        <f>'таблица (всего)'!H176</f>
        <v>503965</v>
      </c>
      <c r="I7" s="227">
        <f>'таблица (всего)'!I176</f>
        <v>503965</v>
      </c>
      <c r="J7" s="227">
        <f>'таблица (всего)'!J176</f>
        <v>503965</v>
      </c>
      <c r="K7" s="243">
        <f>D7-'таблица (всего)'!D176</f>
        <v>0</v>
      </c>
      <c r="L7" s="243">
        <f>E7-'таблица (всего)'!E176</f>
        <v>0</v>
      </c>
      <c r="M7" s="243">
        <f>F7-'таблица (всего)'!F176</f>
        <v>0</v>
      </c>
      <c r="N7" s="243">
        <f>G7-'таблица (всего)'!G176</f>
        <v>0</v>
      </c>
      <c r="O7" s="243">
        <f>H7-'таблица (всего)'!H176</f>
        <v>0</v>
      </c>
      <c r="P7" s="243">
        <f>I7-'таблица (всего)'!I176</f>
        <v>0</v>
      </c>
      <c r="Q7" s="243">
        <f>J7-'таблица (всего)'!J176</f>
        <v>0</v>
      </c>
    </row>
  </sheetData>
  <mergeCells count="13">
    <mergeCell ref="I5:I6"/>
    <mergeCell ref="J5:J6"/>
    <mergeCell ref="A3:J3"/>
    <mergeCell ref="I1:J1"/>
    <mergeCell ref="A2:J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view="pageBreakPreview" zoomScaleNormal="100" zoomScaleSheetLayoutView="100" workbookViewId="0">
      <selection activeCell="A65" sqref="A65:C65"/>
    </sheetView>
  </sheetViews>
  <sheetFormatPr defaultRowHeight="15" x14ac:dyDescent="0.25"/>
  <cols>
    <col min="1" max="1" width="24.42578125" style="2" customWidth="1"/>
    <col min="2" max="2" width="14.85546875" style="44" customWidth="1"/>
    <col min="3" max="3" width="56.28515625" style="4" customWidth="1"/>
    <col min="4" max="5" width="16.5703125" style="105" hidden="1" customWidth="1"/>
    <col min="6" max="6" width="16" style="217" hidden="1" customWidth="1"/>
    <col min="7" max="10" width="16" style="217" customWidth="1"/>
    <col min="11" max="11" width="18.42578125" style="6" customWidth="1"/>
    <col min="12" max="22" width="16.28515625" customWidth="1"/>
  </cols>
  <sheetData>
    <row r="1" spans="1:22" ht="32.25" customHeight="1" thickBot="1" x14ac:dyDescent="0.3">
      <c r="A1" s="9" t="s">
        <v>0</v>
      </c>
      <c r="B1" s="9" t="s">
        <v>99</v>
      </c>
      <c r="C1" s="11" t="s">
        <v>160</v>
      </c>
      <c r="D1" s="122">
        <v>2014</v>
      </c>
      <c r="E1" s="123">
        <v>2015</v>
      </c>
      <c r="F1" s="190">
        <v>2016</v>
      </c>
      <c r="G1" s="699">
        <v>2017</v>
      </c>
      <c r="H1" s="699">
        <v>2018</v>
      </c>
      <c r="I1" s="699">
        <v>2019</v>
      </c>
      <c r="J1" s="700">
        <v>2020</v>
      </c>
      <c r="K1" s="15" t="s">
        <v>1</v>
      </c>
    </row>
    <row r="2" spans="1:22" s="3" customFormat="1" ht="12.75" customHeight="1" thickBot="1" x14ac:dyDescent="0.25">
      <c r="A2" s="10">
        <v>1</v>
      </c>
      <c r="B2" s="12">
        <v>2</v>
      </c>
      <c r="C2" s="71">
        <v>2</v>
      </c>
      <c r="D2" s="120">
        <v>3</v>
      </c>
      <c r="E2" s="121">
        <v>4</v>
      </c>
      <c r="F2" s="191">
        <v>5</v>
      </c>
      <c r="G2" s="701">
        <v>6</v>
      </c>
      <c r="H2" s="701">
        <v>7</v>
      </c>
      <c r="I2" s="701">
        <v>8</v>
      </c>
      <c r="J2" s="702">
        <v>9</v>
      </c>
      <c r="K2" s="16">
        <v>10</v>
      </c>
    </row>
    <row r="3" spans="1:22" s="1" customFormat="1" ht="29.25" customHeight="1" thickBot="1" x14ac:dyDescent="0.3">
      <c r="A3" s="987" t="s">
        <v>65</v>
      </c>
      <c r="B3" s="990"/>
      <c r="C3" s="13" t="s">
        <v>163</v>
      </c>
      <c r="D3" s="81">
        <f>D4+D9</f>
        <v>13593092033.76</v>
      </c>
      <c r="E3" s="137">
        <f t="shared" ref="E3:J3" si="0">E4+E9</f>
        <v>14799453930.66</v>
      </c>
      <c r="F3" s="453">
        <f t="shared" si="0"/>
        <v>14236337661.650002</v>
      </c>
      <c r="G3" s="453">
        <f t="shared" si="0"/>
        <v>14396649354.700001</v>
      </c>
      <c r="H3" s="453">
        <f t="shared" si="0"/>
        <v>15448116190.700001</v>
      </c>
      <c r="I3" s="453">
        <f t="shared" si="0"/>
        <v>15985798714.290001</v>
      </c>
      <c r="J3" s="703">
        <f t="shared" si="0"/>
        <v>15901356014.290001</v>
      </c>
      <c r="K3" s="17">
        <f t="shared" ref="K3:K15" si="1">D3+E3+F3+G3+H3+I3+J3</f>
        <v>104360803900.05002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" customFormat="1" ht="18" customHeight="1" thickBot="1" x14ac:dyDescent="0.3">
      <c r="A4" s="988"/>
      <c r="B4" s="991"/>
      <c r="C4" s="160" t="s">
        <v>225</v>
      </c>
      <c r="D4" s="81">
        <f>D5+D6+D7+D8</f>
        <v>5753664633.7600002</v>
      </c>
      <c r="E4" s="137">
        <f t="shared" ref="E4:J4" si="2">E5+E6+E7+E8</f>
        <v>5819013830.6599998</v>
      </c>
      <c r="F4" s="453">
        <f t="shared" si="2"/>
        <v>5549510761.6500006</v>
      </c>
      <c r="G4" s="453">
        <f t="shared" si="2"/>
        <v>5083065454.6999998</v>
      </c>
      <c r="H4" s="453">
        <f t="shared" si="2"/>
        <v>5078522290.6999998</v>
      </c>
      <c r="I4" s="453">
        <f t="shared" si="2"/>
        <v>5076122314.29</v>
      </c>
      <c r="J4" s="703">
        <f t="shared" si="2"/>
        <v>4991679614.29</v>
      </c>
      <c r="K4" s="17">
        <f t="shared" si="1"/>
        <v>37351578900.050003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1" customFormat="1" ht="15.75" thickBot="1" x14ac:dyDescent="0.3">
      <c r="A5" s="988"/>
      <c r="B5" s="991"/>
      <c r="C5" s="267" t="s">
        <v>282</v>
      </c>
      <c r="D5" s="268">
        <f>D20+D21+D35+D36+D37+D54+D56+D58+D63+D64+D126+D131+D133</f>
        <v>857147889.75999999</v>
      </c>
      <c r="E5" s="272">
        <f>E20+E21+E35+E36+E37+E38+E54+E56+E58+E63+E64+E126+E131+E133+E143-E8</f>
        <v>636866220.17000008</v>
      </c>
      <c r="F5" s="454">
        <f>F20+F21+F35+F36+F37+F38+F54+F56+F58+F63+F64+F66+F126+F131+F133+F143-F8</f>
        <v>466832400</v>
      </c>
      <c r="G5" s="454">
        <f>G20+G21+G35+G36+G37+G38+G54+G56+G58+G63+G64+G66+G126+G131+G133+G143-G8</f>
        <v>91080100</v>
      </c>
      <c r="H5" s="454">
        <f>H20+H21+H35+H36+H37+H38+H54+H56+H58+H63+H64+H66+H126+H131+H133+H143-H8</f>
        <v>86275300</v>
      </c>
      <c r="I5" s="454">
        <f>I20+I21+I35+I36+I37+I38+I54+I56+I58+I63+I64+I66+I126+I131+I133+I143-I8</f>
        <v>84442700</v>
      </c>
      <c r="J5" s="454">
        <f>J20+J21+J35+J36+J37+J38+J54+J56+J58+J63+J64+J66+J126+J131+J133+J143-J8</f>
        <v>0</v>
      </c>
      <c r="K5" s="17">
        <f t="shared" si="1"/>
        <v>2222644609.9300003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1" customFormat="1" ht="15.75" thickBot="1" x14ac:dyDescent="0.3">
      <c r="A6" s="988"/>
      <c r="B6" s="991"/>
      <c r="C6" s="269" t="s">
        <v>283</v>
      </c>
      <c r="D6" s="268">
        <f>(D14+D15+D16+D17+D18+D19+D22+D23+D24+D29+D30+D33+D31+D40+D41+D43+D48+D49+D50+D51+D52+D53+D55+D61+D62+D72+D78+D79+D80+D85+D86+D88+D89+D91+D93+D95+D97+D98+D103+D104+D106+D107+D108+D110+D111+D112+D113+D115+D120+D132+D134+D135+D136+D141+D142)-100000</f>
        <v>4891416744</v>
      </c>
      <c r="E6" s="272">
        <f>(E14+E15+E16+E17+E18+E19+E22+E23+E24+E29+E30+E33+E31+E40+E41+E43+E48+E49+E50+E51+E52+E53+E55+E61+E62+E72+E78+E79+E80+E85+E86+E88+E89+E91+E93+E95+E97+E98+E103+E104+E106+E107+E108+E110+E111+E112+E113+E115+E120+E132+E134+E135+E136+E141+E142)-100000</f>
        <v>5181547610.4899998</v>
      </c>
      <c r="F6" s="454">
        <f>(F14+F15+F16+F17+F18+F19+F22+F23+F24+F29+F30+F33+F31+F40+F41+F43+F59+F48+F49+F50+F51+F52+F53+F55+F61+F62+F67+F72+F73+F78+F79+F80+F85+F86+F88+F89+F91+F93+F95+F97+F98+F103+F104+F105+F106+F107+F108+F110+F111+F112+F113+F115+F120+F121+F132+F134+F135+F136+F141+F142)-100000</f>
        <v>5081978361.6500006</v>
      </c>
      <c r="G6" s="454">
        <f>(G14+G15+G16+G17+G18+G19+G22+G23+G24+G29+G30+G33+G31+G40+G41+G43+G59+G48+G49+G50+G51+G52+G53+G55+G61+G62+G67+G72+G73+G78+G79+G80+G85+G86+G88+G89+G91+G93+G95+G97+G98+G103+G104+G105+G106+G107+G108+G110+G111+G112+G113+G115+G120+G121+G132+G134+G135+G136+G141+G142)</f>
        <v>4991985354.6999998</v>
      </c>
      <c r="H6" s="454">
        <f>(H14+H15+H16+H17+H18+H19+H22+H23+H24+H29+H30+H33+H31+H40+H41+H43+H59+H48+H49+H50+H51+H52+H53+H55+H61+H62+H67+H72+H73+H78+H79+H80+H85+H86+H88+H89+H91+H93+H95+H97+H98+H103+H104+H105+H106+H107+H108+H110+H111+H112+H113+H115+H120+H121+H132+H134+H135+H136+H141+H142)</f>
        <v>4992246990.6999998</v>
      </c>
      <c r="I6" s="454">
        <f>(I14+I15+I16+I17+I18+I19+I22+I23+I24+I29+I30+I33+I31+I40+I41+I43+I59+I48+I49+I50+I51+I52+I53+I55+I61+I62+I67+I72+I73+I78+I79+I80+I85+I86+I88+I89+I91+I93+I95+I97+I98+I103+I104+I105+I106+I107+I108+I110+I111+I112+I113+I115+I120+I121+I132+I134+I135+I136+I141+I142)</f>
        <v>4991679614.29</v>
      </c>
      <c r="J6" s="454">
        <f>(J14+J15+J16+J17+J18+J19+J22+J23+J24+J29+J30+J33+J31+J40+J41+J43+J59+J48+J49+J50+J51+J52+J53+J55+J61+J62+J67+J72+J73+J78+J79+J80+J85+J86+J88+J89+J91+J93+J95+J97+J98+J103+J104+J105+J106+J107+J108+J110+J111+J112+J113+J115+J120+J121+J132+J134+J135+J136+J141+J142)</f>
        <v>4991679614.29</v>
      </c>
      <c r="K6" s="17">
        <f t="shared" si="1"/>
        <v>35122534290.120003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1" customFormat="1" ht="15.75" thickBot="1" x14ac:dyDescent="0.3">
      <c r="A7" s="988"/>
      <c r="B7" s="991"/>
      <c r="C7" s="270" t="s">
        <v>281</v>
      </c>
      <c r="D7" s="271">
        <v>100000</v>
      </c>
      <c r="E7" s="273">
        <v>100000</v>
      </c>
      <c r="F7" s="455">
        <v>100000</v>
      </c>
      <c r="G7" s="455">
        <v>0</v>
      </c>
      <c r="H7" s="455">
        <v>0</v>
      </c>
      <c r="I7" s="455">
        <v>0</v>
      </c>
      <c r="J7" s="704">
        <v>0</v>
      </c>
      <c r="K7" s="17">
        <f t="shared" si="1"/>
        <v>300000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1" customFormat="1" ht="15.75" thickBot="1" x14ac:dyDescent="0.3">
      <c r="A8" s="988"/>
      <c r="B8" s="991"/>
      <c r="C8" s="270" t="s">
        <v>284</v>
      </c>
      <c r="D8" s="268">
        <f>D143</f>
        <v>5000000</v>
      </c>
      <c r="E8" s="272">
        <f t="shared" ref="E8:J8" si="3">E143</f>
        <v>500000</v>
      </c>
      <c r="F8" s="454">
        <f t="shared" si="3"/>
        <v>600000</v>
      </c>
      <c r="G8" s="454">
        <f t="shared" si="3"/>
        <v>0</v>
      </c>
      <c r="H8" s="454">
        <f t="shared" si="3"/>
        <v>0</v>
      </c>
      <c r="I8" s="454">
        <f t="shared" si="3"/>
        <v>0</v>
      </c>
      <c r="J8" s="704">
        <f t="shared" si="3"/>
        <v>0</v>
      </c>
      <c r="K8" s="17">
        <f t="shared" si="1"/>
        <v>6100000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1" customFormat="1" ht="26.25" thickBot="1" x14ac:dyDescent="0.3">
      <c r="A9" s="989"/>
      <c r="B9" s="992"/>
      <c r="C9" s="266" t="s">
        <v>280</v>
      </c>
      <c r="D9" s="81">
        <f>D144</f>
        <v>7839427400</v>
      </c>
      <c r="E9" s="137">
        <f t="shared" ref="E9:J9" si="4">E144</f>
        <v>8980440100</v>
      </c>
      <c r="F9" s="453">
        <f t="shared" si="4"/>
        <v>8686826900</v>
      </c>
      <c r="G9" s="453">
        <f t="shared" si="4"/>
        <v>9313583900</v>
      </c>
      <c r="H9" s="453">
        <f t="shared" si="4"/>
        <v>10369593900</v>
      </c>
      <c r="I9" s="453">
        <f t="shared" si="4"/>
        <v>10909676400</v>
      </c>
      <c r="J9" s="705">
        <f t="shared" si="4"/>
        <v>10909676400</v>
      </c>
      <c r="K9" s="17">
        <f t="shared" si="1"/>
        <v>67009225000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1" customFormat="1" x14ac:dyDescent="0.25">
      <c r="A10" s="982" t="s">
        <v>4</v>
      </c>
      <c r="B10" s="961"/>
      <c r="C10" s="451" t="s">
        <v>67</v>
      </c>
      <c r="D10" s="158">
        <f t="shared" ref="D10:J10" si="5">D13</f>
        <v>477677444</v>
      </c>
      <c r="E10" s="158">
        <f t="shared" si="5"/>
        <v>69009464.170000002</v>
      </c>
      <c r="F10" s="192">
        <f t="shared" si="5"/>
        <v>55592475.07</v>
      </c>
      <c r="G10" s="192">
        <f t="shared" si="5"/>
        <v>0</v>
      </c>
      <c r="H10" s="192">
        <f t="shared" si="5"/>
        <v>0</v>
      </c>
      <c r="I10" s="192">
        <f t="shared" si="5"/>
        <v>0</v>
      </c>
      <c r="J10" s="192">
        <f t="shared" si="5"/>
        <v>0</v>
      </c>
      <c r="K10" s="171">
        <f t="shared" si="1"/>
        <v>602279383.24000001</v>
      </c>
    </row>
    <row r="11" spans="1:22" s="1" customFormat="1" x14ac:dyDescent="0.25">
      <c r="A11" s="983"/>
      <c r="B11" s="962"/>
      <c r="C11" s="161" t="s">
        <v>161</v>
      </c>
      <c r="D11" s="162">
        <f t="shared" ref="D11:J11" si="6">D20+D21</f>
        <v>331863400</v>
      </c>
      <c r="E11" s="163">
        <f t="shared" si="6"/>
        <v>0</v>
      </c>
      <c r="F11" s="193">
        <f t="shared" si="6"/>
        <v>0</v>
      </c>
      <c r="G11" s="193">
        <f t="shared" si="6"/>
        <v>0</v>
      </c>
      <c r="H11" s="193">
        <f t="shared" si="6"/>
        <v>0</v>
      </c>
      <c r="I11" s="193">
        <f t="shared" si="6"/>
        <v>0</v>
      </c>
      <c r="J11" s="706">
        <f t="shared" si="6"/>
        <v>0</v>
      </c>
      <c r="K11" s="170">
        <f t="shared" si="1"/>
        <v>331863400</v>
      </c>
    </row>
    <row r="12" spans="1:22" s="1" customFormat="1" ht="15.75" thickBot="1" x14ac:dyDescent="0.3">
      <c r="A12" s="984"/>
      <c r="B12" s="963"/>
      <c r="C12" s="165" t="s">
        <v>162</v>
      </c>
      <c r="D12" s="166">
        <f t="shared" ref="D12:J12" si="7">D13-D11</f>
        <v>145814044</v>
      </c>
      <c r="E12" s="167">
        <f t="shared" si="7"/>
        <v>69009464.170000002</v>
      </c>
      <c r="F12" s="194">
        <f t="shared" si="7"/>
        <v>55592475.07</v>
      </c>
      <c r="G12" s="194">
        <f t="shared" si="7"/>
        <v>0</v>
      </c>
      <c r="H12" s="194">
        <f t="shared" si="7"/>
        <v>0</v>
      </c>
      <c r="I12" s="194">
        <f t="shared" si="7"/>
        <v>0</v>
      </c>
      <c r="J12" s="707">
        <f t="shared" si="7"/>
        <v>0</v>
      </c>
      <c r="K12" s="168">
        <f t="shared" si="1"/>
        <v>270415983.24000001</v>
      </c>
    </row>
    <row r="13" spans="1:22" s="1" customFormat="1" ht="26.25" thickBot="1" x14ac:dyDescent="0.3">
      <c r="A13" s="19" t="s">
        <v>66</v>
      </c>
      <c r="B13" s="39"/>
      <c r="C13" s="20" t="s">
        <v>68</v>
      </c>
      <c r="D13" s="169">
        <f>D14+D15+D16+D17+D18+D19+D20+D21+D22+D23+D24</f>
        <v>477677444</v>
      </c>
      <c r="E13" s="82">
        <f t="shared" ref="E13:J13" si="8">E14+E15+E16+E17+E18+E19+E20+E21+E22+E23+E24</f>
        <v>69009464.170000002</v>
      </c>
      <c r="F13" s="195">
        <f t="shared" si="8"/>
        <v>55592475.07</v>
      </c>
      <c r="G13" s="195">
        <f t="shared" si="8"/>
        <v>0</v>
      </c>
      <c r="H13" s="195">
        <f t="shared" si="8"/>
        <v>0</v>
      </c>
      <c r="I13" s="195">
        <f t="shared" si="8"/>
        <v>0</v>
      </c>
      <c r="J13" s="708">
        <f t="shared" si="8"/>
        <v>0</v>
      </c>
      <c r="K13" s="157">
        <f t="shared" si="1"/>
        <v>602279383.24000001</v>
      </c>
    </row>
    <row r="14" spans="1:22" ht="25.5" hidden="1" x14ac:dyDescent="0.25">
      <c r="A14" s="996"/>
      <c r="B14" s="129" t="s">
        <v>100</v>
      </c>
      <c r="C14" s="452" t="s">
        <v>5</v>
      </c>
      <c r="D14" s="132">
        <v>0</v>
      </c>
      <c r="E14" s="83">
        <v>0</v>
      </c>
      <c r="F14" s="196">
        <v>0</v>
      </c>
      <c r="G14" s="196">
        <v>0</v>
      </c>
      <c r="H14" s="196">
        <v>0</v>
      </c>
      <c r="I14" s="196">
        <v>0</v>
      </c>
      <c r="J14" s="595">
        <v>0</v>
      </c>
      <c r="K14" s="18">
        <f t="shared" si="1"/>
        <v>0</v>
      </c>
    </row>
    <row r="15" spans="1:22" x14ac:dyDescent="0.25">
      <c r="A15" s="996"/>
      <c r="B15" s="131" t="s">
        <v>101</v>
      </c>
      <c r="C15" s="741" t="s">
        <v>6</v>
      </c>
      <c r="D15" s="519">
        <v>98092144</v>
      </c>
      <c r="E15" s="520">
        <v>43073564.170000002</v>
      </c>
      <c r="F15" s="197">
        <f>14581400+900000</f>
        <v>15481400</v>
      </c>
      <c r="G15" s="197">
        <v>0</v>
      </c>
      <c r="H15" s="197">
        <v>0</v>
      </c>
      <c r="I15" s="197">
        <v>0</v>
      </c>
      <c r="J15" s="582">
        <v>0</v>
      </c>
      <c r="K15" s="605">
        <f t="shared" si="1"/>
        <v>156647108.17000002</v>
      </c>
    </row>
    <row r="16" spans="1:22" ht="26.25" thickBot="1" x14ac:dyDescent="0.3">
      <c r="A16" s="996"/>
      <c r="B16" s="131" t="s">
        <v>102</v>
      </c>
      <c r="C16" s="8" t="s">
        <v>7</v>
      </c>
      <c r="D16" s="533">
        <v>23494200</v>
      </c>
      <c r="E16" s="534">
        <v>21735900</v>
      </c>
      <c r="F16" s="197">
        <f>34080300+9331100-3300324.93</f>
        <v>40111075.07</v>
      </c>
      <c r="G16" s="197">
        <v>0</v>
      </c>
      <c r="H16" s="197">
        <v>0</v>
      </c>
      <c r="I16" s="197">
        <v>0</v>
      </c>
      <c r="J16" s="582">
        <v>0</v>
      </c>
      <c r="K16" s="605">
        <f t="shared" ref="K16:K24" si="9">D16+E16+F16+G16+H16+I16+J16</f>
        <v>85341175.069999993</v>
      </c>
    </row>
    <row r="17" spans="1:11" hidden="1" x14ac:dyDescent="0.25">
      <c r="A17" s="996"/>
      <c r="B17" s="130" t="s">
        <v>103</v>
      </c>
      <c r="C17" s="8" t="s">
        <v>10</v>
      </c>
      <c r="D17" s="133">
        <v>9940800</v>
      </c>
      <c r="E17" s="84">
        <v>0</v>
      </c>
      <c r="F17" s="197">
        <v>0</v>
      </c>
      <c r="G17" s="197">
        <v>0</v>
      </c>
      <c r="H17" s="197">
        <v>0</v>
      </c>
      <c r="I17" s="197">
        <v>0</v>
      </c>
      <c r="J17" s="582">
        <v>0</v>
      </c>
      <c r="K17" s="18">
        <f t="shared" si="9"/>
        <v>9940800</v>
      </c>
    </row>
    <row r="18" spans="1:11" ht="58.5" hidden="1" customHeight="1" x14ac:dyDescent="0.25">
      <c r="A18" s="996"/>
      <c r="B18" s="130" t="s">
        <v>104</v>
      </c>
      <c r="C18" s="8" t="s">
        <v>27</v>
      </c>
      <c r="D18" s="133">
        <v>112900</v>
      </c>
      <c r="E18" s="84">
        <v>0</v>
      </c>
      <c r="F18" s="197">
        <v>0</v>
      </c>
      <c r="G18" s="197">
        <v>0</v>
      </c>
      <c r="H18" s="197">
        <v>0</v>
      </c>
      <c r="I18" s="197">
        <v>0</v>
      </c>
      <c r="J18" s="582">
        <v>0</v>
      </c>
      <c r="K18" s="18">
        <f t="shared" si="9"/>
        <v>112900</v>
      </c>
    </row>
    <row r="19" spans="1:11" ht="20.25" hidden="1" customHeight="1" x14ac:dyDescent="0.25">
      <c r="A19" s="996"/>
      <c r="B19" s="131" t="s">
        <v>105</v>
      </c>
      <c r="C19" s="128" t="s">
        <v>11</v>
      </c>
      <c r="D19" s="134">
        <v>11059200</v>
      </c>
      <c r="E19" s="104">
        <v>0</v>
      </c>
      <c r="F19" s="198">
        <v>0</v>
      </c>
      <c r="G19" s="198">
        <v>0</v>
      </c>
      <c r="H19" s="198">
        <v>0</v>
      </c>
      <c r="I19" s="198">
        <v>0</v>
      </c>
      <c r="J19" s="588">
        <v>0</v>
      </c>
      <c r="K19" s="18">
        <f t="shared" si="9"/>
        <v>11059200</v>
      </c>
    </row>
    <row r="20" spans="1:11" ht="18" hidden="1" customHeight="1" x14ac:dyDescent="0.25">
      <c r="A20" s="996"/>
      <c r="B20" s="127"/>
      <c r="C20" s="135" t="s">
        <v>191</v>
      </c>
      <c r="D20" s="133">
        <v>296963400</v>
      </c>
      <c r="E20" s="115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8">
        <f t="shared" si="9"/>
        <v>296963400</v>
      </c>
    </row>
    <row r="21" spans="1:11" ht="51" hidden="1" x14ac:dyDescent="0.25">
      <c r="A21" s="996"/>
      <c r="B21" s="127"/>
      <c r="C21" s="135" t="s">
        <v>192</v>
      </c>
      <c r="D21" s="133">
        <v>34900000</v>
      </c>
      <c r="E21" s="115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8">
        <f t="shared" si="9"/>
        <v>34900000</v>
      </c>
    </row>
    <row r="22" spans="1:11" ht="38.25" hidden="1" x14ac:dyDescent="0.25">
      <c r="A22" s="996"/>
      <c r="B22" s="127"/>
      <c r="C22" s="135" t="s">
        <v>193</v>
      </c>
      <c r="D22" s="133">
        <v>1124600</v>
      </c>
      <c r="E22" s="115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8">
        <f t="shared" si="9"/>
        <v>1124600</v>
      </c>
    </row>
    <row r="23" spans="1:11" ht="38.25" hidden="1" x14ac:dyDescent="0.25">
      <c r="A23" s="996"/>
      <c r="B23" s="127"/>
      <c r="C23" s="135" t="s">
        <v>194</v>
      </c>
      <c r="D23" s="133">
        <v>1990200</v>
      </c>
      <c r="E23" s="115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8">
        <f t="shared" si="9"/>
        <v>1990200</v>
      </c>
    </row>
    <row r="24" spans="1:11" ht="26.25" hidden="1" thickBot="1" x14ac:dyDescent="0.3">
      <c r="A24" s="996"/>
      <c r="B24" s="127"/>
      <c r="C24" s="136" t="s">
        <v>195</v>
      </c>
      <c r="D24" s="134">
        <v>0</v>
      </c>
      <c r="E24" s="116">
        <v>4200000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8">
        <f t="shared" si="9"/>
        <v>4200000</v>
      </c>
    </row>
    <row r="25" spans="1:11" s="1" customFormat="1" ht="25.5" x14ac:dyDescent="0.25">
      <c r="A25" s="955" t="s">
        <v>4</v>
      </c>
      <c r="B25" s="958"/>
      <c r="C25" s="175" t="s">
        <v>69</v>
      </c>
      <c r="D25" s="192">
        <f t="shared" ref="D25:J25" si="10">D28+D32+D34+D39+D42</f>
        <v>810033222.42000008</v>
      </c>
      <c r="E25" s="192">
        <f t="shared" si="10"/>
        <v>547542835.72000003</v>
      </c>
      <c r="F25" s="192">
        <f t="shared" si="10"/>
        <v>417458460.48000002</v>
      </c>
      <c r="G25" s="192">
        <f t="shared" si="10"/>
        <v>217694107.16</v>
      </c>
      <c r="H25" s="192">
        <f t="shared" si="10"/>
        <v>214381807.16</v>
      </c>
      <c r="I25" s="192">
        <f t="shared" si="10"/>
        <v>213048358.88999999</v>
      </c>
      <c r="J25" s="192">
        <f t="shared" si="10"/>
        <v>152985558.88999999</v>
      </c>
      <c r="K25" s="565">
        <f>D25+E25+F25+G25+H25+I25+J25</f>
        <v>2573144350.7199998</v>
      </c>
    </row>
    <row r="26" spans="1:11" s="1" customFormat="1" x14ac:dyDescent="0.25">
      <c r="A26" s="956"/>
      <c r="B26" s="959"/>
      <c r="C26" s="174" t="s">
        <v>161</v>
      </c>
      <c r="D26" s="585">
        <f>D35+D36+D37+D38</f>
        <v>241631922.42000002</v>
      </c>
      <c r="E26" s="199">
        <f t="shared" ref="E26:J26" si="11">E35+E36+E37+E38</f>
        <v>403787620.17000002</v>
      </c>
      <c r="F26" s="199">
        <f t="shared" si="11"/>
        <v>260747600</v>
      </c>
      <c r="G26" s="199">
        <f t="shared" si="11"/>
        <v>64709800</v>
      </c>
      <c r="H26" s="199">
        <f t="shared" si="11"/>
        <v>61397500</v>
      </c>
      <c r="I26" s="199">
        <f t="shared" si="11"/>
        <v>60062800</v>
      </c>
      <c r="J26" s="586">
        <f t="shared" si="11"/>
        <v>0</v>
      </c>
      <c r="K26" s="566">
        <f>D26+E26+F26+G26+H26+I26+J26</f>
        <v>1092337242.5900002</v>
      </c>
    </row>
    <row r="27" spans="1:11" s="1" customFormat="1" ht="15.75" thickBot="1" x14ac:dyDescent="0.3">
      <c r="A27" s="957"/>
      <c r="B27" s="960"/>
      <c r="C27" s="165" t="s">
        <v>162</v>
      </c>
      <c r="D27" s="200">
        <f>D25-D26</f>
        <v>568401300</v>
      </c>
      <c r="E27" s="200">
        <f t="shared" ref="E27:J27" si="12">E25-E26</f>
        <v>143755215.55000001</v>
      </c>
      <c r="F27" s="200">
        <f t="shared" si="12"/>
        <v>156710860.48000002</v>
      </c>
      <c r="G27" s="200">
        <f t="shared" si="12"/>
        <v>152984307.16</v>
      </c>
      <c r="H27" s="200">
        <f t="shared" si="12"/>
        <v>152984307.16</v>
      </c>
      <c r="I27" s="200">
        <f t="shared" si="12"/>
        <v>152985558.88999999</v>
      </c>
      <c r="J27" s="200">
        <f t="shared" si="12"/>
        <v>152985558.88999999</v>
      </c>
      <c r="K27" s="567">
        <f>D27+E27+F27+G27+H27+I27+J27</f>
        <v>1480807108.1299996</v>
      </c>
    </row>
    <row r="28" spans="1:11" ht="15.75" thickBot="1" x14ac:dyDescent="0.3">
      <c r="A28" s="23" t="s">
        <v>66</v>
      </c>
      <c r="B28" s="40"/>
      <c r="C28" s="23" t="s">
        <v>71</v>
      </c>
      <c r="D28" s="201">
        <f>D29+D30+D31</f>
        <v>168762400</v>
      </c>
      <c r="E28" s="201">
        <f t="shared" ref="E28:J28" si="13">E29+E30+E31</f>
        <v>138202674.24000001</v>
      </c>
      <c r="F28" s="201">
        <f t="shared" si="13"/>
        <v>151156853.16999999</v>
      </c>
      <c r="G28" s="201">
        <f t="shared" si="13"/>
        <v>146984307.16</v>
      </c>
      <c r="H28" s="201">
        <f t="shared" si="13"/>
        <v>146984307.16</v>
      </c>
      <c r="I28" s="201">
        <f t="shared" si="13"/>
        <v>146985558.88999999</v>
      </c>
      <c r="J28" s="201">
        <f t="shared" si="13"/>
        <v>146985558.88999999</v>
      </c>
      <c r="K28" s="182">
        <f>D28+E28+F28+G28+H28+I28+J28</f>
        <v>1046061659.5099999</v>
      </c>
    </row>
    <row r="29" spans="1:11" ht="51" x14ac:dyDescent="0.25">
      <c r="A29" s="952"/>
      <c r="B29" s="594" t="s">
        <v>106</v>
      </c>
      <c r="C29" s="458" t="s">
        <v>39</v>
      </c>
      <c r="D29" s="85">
        <v>24280100</v>
      </c>
      <c r="E29" s="86">
        <v>7737100.0099999998</v>
      </c>
      <c r="F29" s="196">
        <f>20615294.59-309228</f>
        <v>20306066.59</v>
      </c>
      <c r="G29" s="196">
        <f>20306066.59</f>
        <v>20306066.59</v>
      </c>
      <c r="H29" s="196">
        <f>20306066.59</f>
        <v>20306066.59</v>
      </c>
      <c r="I29" s="196">
        <f>20306066.59</f>
        <v>20306066.59</v>
      </c>
      <c r="J29" s="196">
        <f>20306066.59</f>
        <v>20306066.59</v>
      </c>
      <c r="K29" s="575">
        <f t="shared" ref="K29:K43" si="14">D29+E29+F29+G29+H29+I29+J29</f>
        <v>133547532.96000001</v>
      </c>
    </row>
    <row r="30" spans="1:11" ht="25.5" x14ac:dyDescent="0.25">
      <c r="A30" s="953"/>
      <c r="B30" s="606" t="s">
        <v>107</v>
      </c>
      <c r="C30" s="24" t="s">
        <v>40</v>
      </c>
      <c r="D30" s="87">
        <v>144482300</v>
      </c>
      <c r="E30" s="88">
        <v>129945840.98999999</v>
      </c>
      <c r="F30" s="198">
        <f>126714863.89-1709151.3+845073.99</f>
        <v>125850786.58</v>
      </c>
      <c r="G30" s="198">
        <f>121478240.57</f>
        <v>121478240.56999999</v>
      </c>
      <c r="H30" s="198">
        <f>121478240.57</f>
        <v>121478240.56999999</v>
      </c>
      <c r="I30" s="198">
        <f>121479492.3</f>
        <v>121479492.3</v>
      </c>
      <c r="J30" s="198">
        <f>121479492.3</f>
        <v>121479492.3</v>
      </c>
      <c r="K30" s="577">
        <f t="shared" si="14"/>
        <v>886194393.30999994</v>
      </c>
    </row>
    <row r="31" spans="1:11" ht="26.25" thickBot="1" x14ac:dyDescent="0.3">
      <c r="A31" s="954"/>
      <c r="B31" s="583" t="s">
        <v>314</v>
      </c>
      <c r="C31" s="24" t="s">
        <v>218</v>
      </c>
      <c r="D31" s="140">
        <v>0</v>
      </c>
      <c r="E31" s="88">
        <v>519733.24</v>
      </c>
      <c r="F31" s="198">
        <v>5000000</v>
      </c>
      <c r="G31" s="198">
        <v>5200000</v>
      </c>
      <c r="H31" s="198">
        <v>5200000</v>
      </c>
      <c r="I31" s="198">
        <v>5200000</v>
      </c>
      <c r="J31" s="198">
        <v>5200000</v>
      </c>
      <c r="K31" s="577">
        <f>D31+E31+F31+G31+H31+I31+J31</f>
        <v>26319733.240000002</v>
      </c>
    </row>
    <row r="32" spans="1:11" s="1" customFormat="1" ht="26.25" thickBot="1" x14ac:dyDescent="0.3">
      <c r="A32" s="23" t="s">
        <v>66</v>
      </c>
      <c r="B32" s="40"/>
      <c r="C32" s="23" t="s">
        <v>72</v>
      </c>
      <c r="D32" s="202">
        <f>D33</f>
        <v>5289600</v>
      </c>
      <c r="E32" s="202">
        <f t="shared" ref="E32:J32" si="15">E33</f>
        <v>5552541.3099999996</v>
      </c>
      <c r="F32" s="202">
        <f t="shared" si="15"/>
        <v>5554007.3099999996</v>
      </c>
      <c r="G32" s="202">
        <f t="shared" si="15"/>
        <v>6000000</v>
      </c>
      <c r="H32" s="202">
        <f t="shared" si="15"/>
        <v>6000000</v>
      </c>
      <c r="I32" s="202">
        <f t="shared" si="15"/>
        <v>6000000</v>
      </c>
      <c r="J32" s="202">
        <f t="shared" si="15"/>
        <v>6000000</v>
      </c>
      <c r="K32" s="182">
        <f t="shared" si="14"/>
        <v>40396148.619999997</v>
      </c>
    </row>
    <row r="33" spans="1:11" ht="64.5" thickBot="1" x14ac:dyDescent="0.3">
      <c r="A33" s="25"/>
      <c r="B33" s="597" t="s">
        <v>108</v>
      </c>
      <c r="C33" s="25" t="s">
        <v>315</v>
      </c>
      <c r="D33" s="89">
        <v>5289600</v>
      </c>
      <c r="E33" s="90">
        <v>5552541.3099999996</v>
      </c>
      <c r="F33" s="203">
        <v>5554007.3099999996</v>
      </c>
      <c r="G33" s="203">
        <v>6000000</v>
      </c>
      <c r="H33" s="203">
        <v>6000000</v>
      </c>
      <c r="I33" s="203">
        <v>6000000</v>
      </c>
      <c r="J33" s="203">
        <v>6000000</v>
      </c>
      <c r="K33" s="575">
        <f t="shared" si="14"/>
        <v>40396148.619999997</v>
      </c>
    </row>
    <row r="34" spans="1:11" s="1" customFormat="1" ht="39" thickBot="1" x14ac:dyDescent="0.3">
      <c r="A34" s="23" t="s">
        <v>66</v>
      </c>
      <c r="B34" s="40"/>
      <c r="C34" s="23" t="s">
        <v>73</v>
      </c>
      <c r="D34" s="202">
        <f>D35+D36+D37+D38</f>
        <v>241631922.42000002</v>
      </c>
      <c r="E34" s="202">
        <f t="shared" ref="E34:J34" si="16">E35+E36+E37+E38</f>
        <v>403787620.17000002</v>
      </c>
      <c r="F34" s="202">
        <f t="shared" si="16"/>
        <v>260747600</v>
      </c>
      <c r="G34" s="202">
        <f t="shared" si="16"/>
        <v>64709800</v>
      </c>
      <c r="H34" s="202">
        <f t="shared" si="16"/>
        <v>61397500</v>
      </c>
      <c r="I34" s="202">
        <f t="shared" si="16"/>
        <v>60062800</v>
      </c>
      <c r="J34" s="202">
        <f t="shared" si="16"/>
        <v>0</v>
      </c>
      <c r="K34" s="577">
        <f t="shared" si="14"/>
        <v>1092337242.5900002</v>
      </c>
    </row>
    <row r="35" spans="1:11" s="1" customFormat="1" ht="89.25" x14ac:dyDescent="0.25">
      <c r="A35" s="964"/>
      <c r="B35" s="606" t="s">
        <v>109</v>
      </c>
      <c r="C35" s="221" t="s">
        <v>43</v>
      </c>
      <c r="D35" s="87">
        <v>11626322.42</v>
      </c>
      <c r="E35" s="88">
        <v>10750920.17</v>
      </c>
      <c r="F35" s="198">
        <f>3393600+2534000-5927600+5607800</f>
        <v>5607800</v>
      </c>
      <c r="G35" s="198">
        <v>0</v>
      </c>
      <c r="H35" s="198">
        <v>0</v>
      </c>
      <c r="I35" s="198">
        <v>0</v>
      </c>
      <c r="J35" s="588">
        <v>0</v>
      </c>
      <c r="K35" s="577">
        <f t="shared" si="14"/>
        <v>27985042.59</v>
      </c>
    </row>
    <row r="36" spans="1:11" s="1" customFormat="1" ht="25.5" x14ac:dyDescent="0.25">
      <c r="A36" s="969"/>
      <c r="B36" s="578" t="s">
        <v>110</v>
      </c>
      <c r="C36" s="14" t="s">
        <v>42</v>
      </c>
      <c r="D36" s="91">
        <v>81993700</v>
      </c>
      <c r="E36" s="92">
        <v>98648800</v>
      </c>
      <c r="F36" s="197">
        <v>75859900</v>
      </c>
      <c r="G36" s="197">
        <v>64709800</v>
      </c>
      <c r="H36" s="197">
        <v>61397500</v>
      </c>
      <c r="I36" s="197">
        <v>60062800</v>
      </c>
      <c r="J36" s="582">
        <v>0</v>
      </c>
      <c r="K36" s="577">
        <f t="shared" si="14"/>
        <v>442672500</v>
      </c>
    </row>
    <row r="37" spans="1:11" ht="77.25" thickBot="1" x14ac:dyDescent="0.3">
      <c r="A37" s="969"/>
      <c r="B37" s="578" t="s">
        <v>111</v>
      </c>
      <c r="C37" s="24" t="s">
        <v>41</v>
      </c>
      <c r="D37" s="87">
        <v>148011900</v>
      </c>
      <c r="E37" s="88">
        <f>172801400+2590500</f>
        <v>175391900</v>
      </c>
      <c r="F37" s="198">
        <f>159089000+14295900+5895000</f>
        <v>179279900</v>
      </c>
      <c r="G37" s="198">
        <v>0</v>
      </c>
      <c r="H37" s="198">
        <v>0</v>
      </c>
      <c r="I37" s="198">
        <v>0</v>
      </c>
      <c r="J37" s="588">
        <v>0</v>
      </c>
      <c r="K37" s="577">
        <f t="shared" si="14"/>
        <v>502683700</v>
      </c>
    </row>
    <row r="38" spans="1:11" s="535" customFormat="1" ht="15.75" hidden="1" thickBot="1" x14ac:dyDescent="0.3">
      <c r="A38" s="965"/>
      <c r="B38" s="597"/>
      <c r="C38" s="30" t="s">
        <v>205</v>
      </c>
      <c r="D38" s="139">
        <v>0</v>
      </c>
      <c r="E38" s="98">
        <v>118996000</v>
      </c>
      <c r="F38" s="204">
        <v>0</v>
      </c>
      <c r="G38" s="204">
        <v>0</v>
      </c>
      <c r="H38" s="204">
        <v>0</v>
      </c>
      <c r="I38" s="204">
        <v>0</v>
      </c>
      <c r="J38" s="589">
        <v>0</v>
      </c>
      <c r="K38" s="584">
        <f t="shared" si="14"/>
        <v>118996000</v>
      </c>
    </row>
    <row r="39" spans="1:11" s="535" customFormat="1" ht="26.25" hidden="1" thickBot="1" x14ac:dyDescent="0.3">
      <c r="A39" s="648" t="s">
        <v>66</v>
      </c>
      <c r="B39" s="649"/>
      <c r="C39" s="508" t="s">
        <v>206</v>
      </c>
      <c r="D39" s="650">
        <f t="shared" ref="D39:J39" si="17">D40+D41</f>
        <v>361351300</v>
      </c>
      <c r="E39" s="650">
        <f t="shared" si="17"/>
        <v>0</v>
      </c>
      <c r="F39" s="709">
        <f t="shared" si="17"/>
        <v>0</v>
      </c>
      <c r="G39" s="709">
        <f t="shared" si="17"/>
        <v>0</v>
      </c>
      <c r="H39" s="709">
        <f t="shared" si="17"/>
        <v>0</v>
      </c>
      <c r="I39" s="709">
        <f t="shared" si="17"/>
        <v>0</v>
      </c>
      <c r="J39" s="709">
        <f t="shared" si="17"/>
        <v>0</v>
      </c>
      <c r="K39" s="651">
        <f t="shared" si="14"/>
        <v>361351300</v>
      </c>
    </row>
    <row r="40" spans="1:11" s="535" customFormat="1" ht="81" hidden="1" customHeight="1" x14ac:dyDescent="0.25">
      <c r="A40" s="1000"/>
      <c r="B40" s="518"/>
      <c r="C40" s="512" t="s">
        <v>207</v>
      </c>
      <c r="D40" s="538">
        <v>331685200</v>
      </c>
      <c r="E40" s="539">
        <v>0</v>
      </c>
      <c r="F40" s="710">
        <v>0</v>
      </c>
      <c r="G40" s="710">
        <v>0</v>
      </c>
      <c r="H40" s="710">
        <v>0</v>
      </c>
      <c r="I40" s="710">
        <v>0</v>
      </c>
      <c r="J40" s="710">
        <v>0</v>
      </c>
      <c r="K40" s="513">
        <f t="shared" si="14"/>
        <v>331685200</v>
      </c>
    </row>
    <row r="41" spans="1:11" s="535" customFormat="1" ht="81.75" hidden="1" customHeight="1" thickBot="1" x14ac:dyDescent="0.3">
      <c r="A41" s="1001"/>
      <c r="B41" s="540"/>
      <c r="C41" s="516" t="s">
        <v>208</v>
      </c>
      <c r="D41" s="517">
        <v>29666100</v>
      </c>
      <c r="E41" s="54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511">
        <f t="shared" si="14"/>
        <v>29666100</v>
      </c>
    </row>
    <row r="42" spans="1:11" s="535" customFormat="1" ht="26.25" hidden="1" thickBot="1" x14ac:dyDescent="0.3">
      <c r="A42" s="652" t="s">
        <v>66</v>
      </c>
      <c r="B42" s="653"/>
      <c r="C42" s="652" t="s">
        <v>203</v>
      </c>
      <c r="D42" s="654">
        <f t="shared" ref="D42:J42" si="18">D43</f>
        <v>32998000</v>
      </c>
      <c r="E42" s="654">
        <f t="shared" si="18"/>
        <v>0</v>
      </c>
      <c r="F42" s="202">
        <f t="shared" si="18"/>
        <v>0</v>
      </c>
      <c r="G42" s="202">
        <f t="shared" si="18"/>
        <v>0</v>
      </c>
      <c r="H42" s="202">
        <f t="shared" si="18"/>
        <v>0</v>
      </c>
      <c r="I42" s="202">
        <f t="shared" si="18"/>
        <v>0</v>
      </c>
      <c r="J42" s="202">
        <f t="shared" si="18"/>
        <v>0</v>
      </c>
      <c r="K42" s="651">
        <f t="shared" si="14"/>
        <v>32998000</v>
      </c>
    </row>
    <row r="43" spans="1:11" ht="64.5" hidden="1" thickBot="1" x14ac:dyDescent="0.3">
      <c r="A43" s="31"/>
      <c r="B43" s="521" t="s">
        <v>130</v>
      </c>
      <c r="C43" s="542" t="s">
        <v>204</v>
      </c>
      <c r="D43" s="537">
        <v>32998000</v>
      </c>
      <c r="E43" s="543">
        <v>0</v>
      </c>
      <c r="F43" s="205">
        <v>0</v>
      </c>
      <c r="G43" s="205">
        <v>0</v>
      </c>
      <c r="H43" s="205">
        <v>0</v>
      </c>
      <c r="I43" s="205">
        <v>0</v>
      </c>
      <c r="J43" s="581">
        <v>0</v>
      </c>
      <c r="K43" s="536">
        <f t="shared" si="14"/>
        <v>32998000</v>
      </c>
    </row>
    <row r="44" spans="1:11" ht="25.5" x14ac:dyDescent="0.25">
      <c r="A44" s="955" t="s">
        <v>4</v>
      </c>
      <c r="B44" s="958"/>
      <c r="C44" s="175" t="s">
        <v>74</v>
      </c>
      <c r="D44" s="206">
        <f>D47+D57+D60</f>
        <v>1057835667.3399999</v>
      </c>
      <c r="E44" s="206">
        <f>E47+E57+E60</f>
        <v>821524363.00999999</v>
      </c>
      <c r="F44" s="206">
        <f>F47+F57+F60+F65</f>
        <v>810546866.32999992</v>
      </c>
      <c r="G44" s="206">
        <f>G47+G57+G60+G65</f>
        <v>559874226.53999996</v>
      </c>
      <c r="H44" s="206">
        <f>H47+H57+H60+H65</f>
        <v>558381726.53999996</v>
      </c>
      <c r="I44" s="206">
        <f>I47+I57+I60+I65</f>
        <v>557883680.30999994</v>
      </c>
      <c r="J44" s="206">
        <f>J47+J57+J60+J65</f>
        <v>535484480.31</v>
      </c>
      <c r="K44" s="600">
        <f t="shared" ref="K44:K50" si="19">D44+E44+F44+G44+H44+I44+J44</f>
        <v>4901531010.3800001</v>
      </c>
    </row>
    <row r="45" spans="1:11" x14ac:dyDescent="0.25">
      <c r="A45" s="956"/>
      <c r="B45" s="959"/>
      <c r="C45" s="161" t="s">
        <v>161</v>
      </c>
      <c r="D45" s="199">
        <f>D54+D56+D58+D63+D64</f>
        <v>273118967.34000003</v>
      </c>
      <c r="E45" s="199">
        <f>E54+E56+E58+E63+E64</f>
        <v>231202900</v>
      </c>
      <c r="F45" s="199">
        <f>F54+F56+F58+F63+F64+F66</f>
        <v>204209100</v>
      </c>
      <c r="G45" s="199">
        <f>G54+G56+G58+G63+G64+G66</f>
        <v>24389600</v>
      </c>
      <c r="H45" s="199">
        <f>H54+H56+H58+H63+H64+H66</f>
        <v>22897100</v>
      </c>
      <c r="I45" s="199">
        <f>I54+I56+I58+I63+I64+I66</f>
        <v>22399200</v>
      </c>
      <c r="J45" s="199">
        <f>J54+J56+J58+J63+J64+J66</f>
        <v>0</v>
      </c>
      <c r="K45" s="587">
        <f t="shared" si="19"/>
        <v>778216867.34000003</v>
      </c>
    </row>
    <row r="46" spans="1:11" ht="15.75" thickBot="1" x14ac:dyDescent="0.3">
      <c r="A46" s="957"/>
      <c r="B46" s="960"/>
      <c r="C46" s="177" t="s">
        <v>162</v>
      </c>
      <c r="D46" s="200">
        <f>D44-D45</f>
        <v>784716699.99999988</v>
      </c>
      <c r="E46" s="200">
        <f t="shared" ref="E46:J46" si="20">E44-E45</f>
        <v>590321463.00999999</v>
      </c>
      <c r="F46" s="200">
        <f t="shared" si="20"/>
        <v>606337766.32999992</v>
      </c>
      <c r="G46" s="200">
        <f t="shared" si="20"/>
        <v>535484626.53999996</v>
      </c>
      <c r="H46" s="200">
        <f t="shared" si="20"/>
        <v>535484626.53999996</v>
      </c>
      <c r="I46" s="200">
        <f t="shared" si="20"/>
        <v>535484480.30999994</v>
      </c>
      <c r="J46" s="200">
        <f t="shared" si="20"/>
        <v>535484480.31</v>
      </c>
      <c r="K46" s="587">
        <f t="shared" si="19"/>
        <v>4123314143.0399995</v>
      </c>
    </row>
    <row r="47" spans="1:11" s="1" customFormat="1" ht="15.75" thickBot="1" x14ac:dyDescent="0.3">
      <c r="A47" s="23" t="s">
        <v>66</v>
      </c>
      <c r="B47" s="40"/>
      <c r="C47" s="20" t="s">
        <v>75</v>
      </c>
      <c r="D47" s="202">
        <f>D48+D49+D50+D51+D52+D53+D54+D55+D56</f>
        <v>790036027.80999994</v>
      </c>
      <c r="E47" s="202">
        <f t="shared" ref="E47:J47" si="21">E48+E49+E50+E51+E52+E53+E54+E55+E56</f>
        <v>584743898.37</v>
      </c>
      <c r="F47" s="202">
        <f t="shared" si="21"/>
        <v>597474357.63</v>
      </c>
      <c r="G47" s="202">
        <f t="shared" si="21"/>
        <v>520777634.04000002</v>
      </c>
      <c r="H47" s="202">
        <f t="shared" si="21"/>
        <v>520777634.04000002</v>
      </c>
      <c r="I47" s="202">
        <f t="shared" si="21"/>
        <v>520777588.81</v>
      </c>
      <c r="J47" s="202">
        <f t="shared" si="21"/>
        <v>520777588.81</v>
      </c>
      <c r="K47" s="596">
        <f t="shared" si="19"/>
        <v>4055364729.5099998</v>
      </c>
    </row>
    <row r="48" spans="1:11" s="1" customFormat="1" ht="51" x14ac:dyDescent="0.25">
      <c r="A48" s="964"/>
      <c r="B48" s="74" t="s">
        <v>112</v>
      </c>
      <c r="C48" s="601" t="s">
        <v>39</v>
      </c>
      <c r="D48" s="602">
        <f>43918700+4404200</f>
        <v>48322900</v>
      </c>
      <c r="E48" s="603">
        <f>28127900.06+658100.01</f>
        <v>28786000.07</v>
      </c>
      <c r="F48" s="205">
        <f>69217709.03+1841927.8-721017.5</f>
        <v>70338619.329999998</v>
      </c>
      <c r="G48" s="205">
        <f>68496691.53+1841927.8</f>
        <v>70338619.329999998</v>
      </c>
      <c r="H48" s="205">
        <f>68496691.53+1841927.8</f>
        <v>70338619.329999998</v>
      </c>
      <c r="I48" s="205">
        <f>68496691.53+1841927.8</f>
        <v>70338619.329999998</v>
      </c>
      <c r="J48" s="205">
        <f>68496691.53+1841927.8</f>
        <v>70338619.329999998</v>
      </c>
      <c r="K48" s="604">
        <f t="shared" si="19"/>
        <v>428801996.71999991</v>
      </c>
    </row>
    <row r="49" spans="1:11" ht="25.5" x14ac:dyDescent="0.25">
      <c r="A49" s="969"/>
      <c r="B49" s="594" t="s">
        <v>113</v>
      </c>
      <c r="C49" s="22" t="s">
        <v>44</v>
      </c>
      <c r="D49" s="138">
        <v>603160100</v>
      </c>
      <c r="E49" s="86">
        <v>519964506.77999997</v>
      </c>
      <c r="F49" s="196">
        <f>481782528.18-5897421.95+2392229.27</f>
        <v>478277335.5</v>
      </c>
      <c r="G49" s="196">
        <v>415864838.10000002</v>
      </c>
      <c r="H49" s="196">
        <v>415864838.10000002</v>
      </c>
      <c r="I49" s="196">
        <v>415864827.44</v>
      </c>
      <c r="J49" s="196">
        <v>415864827.44</v>
      </c>
      <c r="K49" s="605">
        <f t="shared" si="19"/>
        <v>3264861273.3600001</v>
      </c>
    </row>
    <row r="50" spans="1:11" x14ac:dyDescent="0.25">
      <c r="A50" s="969"/>
      <c r="B50" s="594" t="s">
        <v>222</v>
      </c>
      <c r="C50" s="22" t="s">
        <v>221</v>
      </c>
      <c r="D50" s="138">
        <v>0</v>
      </c>
      <c r="E50" s="86">
        <v>0</v>
      </c>
      <c r="F50" s="196">
        <f>31170962.18-15960002.87</f>
        <v>15210959.310000001</v>
      </c>
      <c r="G50" s="196">
        <v>13953093.43</v>
      </c>
      <c r="H50" s="196">
        <v>13953093.43</v>
      </c>
      <c r="I50" s="196">
        <v>13953107.560000001</v>
      </c>
      <c r="J50" s="196">
        <v>13953107.560000001</v>
      </c>
      <c r="K50" s="605">
        <f t="shared" si="19"/>
        <v>71023361.290000007</v>
      </c>
    </row>
    <row r="51" spans="1:11" ht="26.25" thickBot="1" x14ac:dyDescent="0.3">
      <c r="A51" s="969"/>
      <c r="B51" s="578" t="s">
        <v>114</v>
      </c>
      <c r="C51" s="14" t="s">
        <v>45</v>
      </c>
      <c r="D51" s="143">
        <v>27786000</v>
      </c>
      <c r="E51" s="92">
        <v>24652091.52</v>
      </c>
      <c r="F51" s="197">
        <f>24652091.52-854458.93+86310.9</f>
        <v>23883943.489999998</v>
      </c>
      <c r="G51" s="197">
        <f>20621083.18</f>
        <v>20621083.18</v>
      </c>
      <c r="H51" s="197">
        <v>20621083.18</v>
      </c>
      <c r="I51" s="197">
        <v>20621034.48</v>
      </c>
      <c r="J51" s="197">
        <v>20621034.48</v>
      </c>
      <c r="K51" s="605">
        <f t="shared" ref="K51:K67" si="22">D51+E51+F51+G51+H51+I51+J51</f>
        <v>158806270.32999998</v>
      </c>
    </row>
    <row r="52" spans="1:11" s="535" customFormat="1" hidden="1" x14ac:dyDescent="0.25">
      <c r="A52" s="969"/>
      <c r="B52" s="522"/>
      <c r="C52" s="523" t="s">
        <v>199</v>
      </c>
      <c r="D52" s="655">
        <v>66341200</v>
      </c>
      <c r="E52" s="524">
        <v>0</v>
      </c>
      <c r="F52" s="197">
        <v>0</v>
      </c>
      <c r="G52" s="197">
        <v>0</v>
      </c>
      <c r="H52" s="197">
        <v>0</v>
      </c>
      <c r="I52" s="197">
        <v>0</v>
      </c>
      <c r="J52" s="582">
        <v>0</v>
      </c>
      <c r="K52" s="605">
        <f t="shared" si="22"/>
        <v>66341200</v>
      </c>
    </row>
    <row r="53" spans="1:11" s="535" customFormat="1" hidden="1" x14ac:dyDescent="0.25">
      <c r="A53" s="969"/>
      <c r="B53" s="522"/>
      <c r="C53" s="523" t="s">
        <v>200</v>
      </c>
      <c r="D53" s="655">
        <v>11160400</v>
      </c>
      <c r="E53" s="524">
        <v>0</v>
      </c>
      <c r="F53" s="197">
        <v>0</v>
      </c>
      <c r="G53" s="197">
        <v>0</v>
      </c>
      <c r="H53" s="197">
        <v>0</v>
      </c>
      <c r="I53" s="197">
        <v>0</v>
      </c>
      <c r="J53" s="582">
        <v>0</v>
      </c>
      <c r="K53" s="605">
        <f t="shared" si="22"/>
        <v>11160400</v>
      </c>
    </row>
    <row r="54" spans="1:11" ht="93.75" hidden="1" customHeight="1" x14ac:dyDescent="0.25">
      <c r="A54" s="969"/>
      <c r="B54" s="578" t="s">
        <v>115</v>
      </c>
      <c r="C54" s="14" t="s">
        <v>46</v>
      </c>
      <c r="D54" s="143">
        <v>21906627.809999999</v>
      </c>
      <c r="E54" s="92">
        <v>11341300</v>
      </c>
      <c r="F54" s="197">
        <v>9763500</v>
      </c>
      <c r="G54" s="197">
        <v>0</v>
      </c>
      <c r="H54" s="197">
        <v>0</v>
      </c>
      <c r="I54" s="197">
        <v>0</v>
      </c>
      <c r="J54" s="582">
        <v>0</v>
      </c>
      <c r="K54" s="605">
        <f t="shared" si="22"/>
        <v>43011427.810000002</v>
      </c>
    </row>
    <row r="55" spans="1:11" s="535" customFormat="1" ht="30" hidden="1" customHeight="1" x14ac:dyDescent="0.25">
      <c r="A55" s="969"/>
      <c r="B55" s="656"/>
      <c r="C55" s="657" t="s">
        <v>201</v>
      </c>
      <c r="D55" s="655">
        <v>1322400</v>
      </c>
      <c r="E55" s="524">
        <v>0</v>
      </c>
      <c r="F55" s="197">
        <v>0</v>
      </c>
      <c r="G55" s="197">
        <v>0</v>
      </c>
      <c r="H55" s="197">
        <v>0</v>
      </c>
      <c r="I55" s="197">
        <v>0</v>
      </c>
      <c r="J55" s="582">
        <v>0</v>
      </c>
      <c r="K55" s="605">
        <f t="shared" si="22"/>
        <v>1322400</v>
      </c>
    </row>
    <row r="56" spans="1:11" s="535" customFormat="1" ht="31.5" hidden="1" customHeight="1" thickBot="1" x14ac:dyDescent="0.3">
      <c r="A56" s="969"/>
      <c r="B56" s="656"/>
      <c r="C56" s="515" t="s">
        <v>202</v>
      </c>
      <c r="D56" s="658">
        <v>10036400</v>
      </c>
      <c r="E56" s="659">
        <v>0</v>
      </c>
      <c r="F56" s="203">
        <v>0</v>
      </c>
      <c r="G56" s="203">
        <v>0</v>
      </c>
      <c r="H56" s="203">
        <v>0</v>
      </c>
      <c r="I56" s="203">
        <v>0</v>
      </c>
      <c r="J56" s="598">
        <v>0</v>
      </c>
      <c r="K56" s="599">
        <f t="shared" si="22"/>
        <v>10036400</v>
      </c>
    </row>
    <row r="57" spans="1:11" s="1" customFormat="1" ht="64.5" thickBot="1" x14ac:dyDescent="0.3">
      <c r="A57" s="23" t="s">
        <v>66</v>
      </c>
      <c r="B57" s="40"/>
      <c r="C57" s="20" t="s">
        <v>76</v>
      </c>
      <c r="D57" s="202">
        <f>D58</f>
        <v>48462500</v>
      </c>
      <c r="E57" s="202">
        <f>E58</f>
        <v>15666300</v>
      </c>
      <c r="F57" s="202">
        <f>F58+F59</f>
        <v>14243200</v>
      </c>
      <c r="G57" s="202">
        <f>G58+G59</f>
        <v>0</v>
      </c>
      <c r="H57" s="202">
        <f>H58+H59</f>
        <v>0</v>
      </c>
      <c r="I57" s="202">
        <f>I58+I59</f>
        <v>0</v>
      </c>
      <c r="J57" s="202">
        <f>J58+J59</f>
        <v>0</v>
      </c>
      <c r="K57" s="596">
        <f t="shared" si="22"/>
        <v>78372000</v>
      </c>
    </row>
    <row r="58" spans="1:11" ht="32.25" customHeight="1" x14ac:dyDescent="0.25">
      <c r="A58" s="25"/>
      <c r="B58" s="597" t="s">
        <v>116</v>
      </c>
      <c r="C58" s="447" t="s">
        <v>47</v>
      </c>
      <c r="D58" s="448">
        <v>48462500</v>
      </c>
      <c r="E58" s="449">
        <v>15666300</v>
      </c>
      <c r="F58" s="205">
        <v>13843200</v>
      </c>
      <c r="G58" s="205">
        <v>0</v>
      </c>
      <c r="H58" s="205">
        <v>0</v>
      </c>
      <c r="I58" s="205">
        <v>0</v>
      </c>
      <c r="J58" s="581">
        <v>0</v>
      </c>
      <c r="K58" s="604">
        <f t="shared" si="22"/>
        <v>77972000</v>
      </c>
    </row>
    <row r="59" spans="1:11" ht="39" thickBot="1" x14ac:dyDescent="0.3">
      <c r="A59" s="25"/>
      <c r="B59" s="597"/>
      <c r="C59" s="26" t="s">
        <v>493</v>
      </c>
      <c r="D59" s="446"/>
      <c r="E59" s="95"/>
      <c r="F59" s="203">
        <v>400000</v>
      </c>
      <c r="G59" s="203">
        <v>0</v>
      </c>
      <c r="H59" s="203">
        <v>0</v>
      </c>
      <c r="I59" s="203">
        <v>0</v>
      </c>
      <c r="J59" s="598">
        <v>0</v>
      </c>
      <c r="K59" s="683">
        <f t="shared" si="22"/>
        <v>400000</v>
      </c>
    </row>
    <row r="60" spans="1:11" s="1" customFormat="1" ht="39" thickBot="1" x14ac:dyDescent="0.3">
      <c r="A60" s="23" t="s">
        <v>66</v>
      </c>
      <c r="B60" s="40"/>
      <c r="C60" s="23" t="s">
        <v>330</v>
      </c>
      <c r="D60" s="202">
        <f>D61+D62+D63+D64</f>
        <v>219337139.53</v>
      </c>
      <c r="E60" s="202">
        <f t="shared" ref="E60:J60" si="23">E61+E62+E63+E64</f>
        <v>221114164.63999999</v>
      </c>
      <c r="F60" s="202">
        <f t="shared" si="23"/>
        <v>198829308.69999999</v>
      </c>
      <c r="G60" s="202">
        <f t="shared" si="23"/>
        <v>12294834.26</v>
      </c>
      <c r="H60" s="202">
        <f t="shared" si="23"/>
        <v>12442444.15</v>
      </c>
      <c r="I60" s="202">
        <f t="shared" si="23"/>
        <v>12491586.01</v>
      </c>
      <c r="J60" s="202">
        <f t="shared" si="23"/>
        <v>14706891.5</v>
      </c>
      <c r="K60" s="596">
        <f t="shared" si="22"/>
        <v>691216368.78999984</v>
      </c>
    </row>
    <row r="61" spans="1:11" ht="51" x14ac:dyDescent="0.25">
      <c r="A61" s="1005"/>
      <c r="B61" s="74" t="s">
        <v>117</v>
      </c>
      <c r="C61" s="677" t="s">
        <v>39</v>
      </c>
      <c r="D61" s="94">
        <v>1671400</v>
      </c>
      <c r="E61" s="86">
        <v>700000.04</v>
      </c>
      <c r="F61" s="196">
        <v>1648040</v>
      </c>
      <c r="G61" s="196">
        <f>1648040</f>
        <v>1648040</v>
      </c>
      <c r="H61" s="196">
        <f>1648040</f>
        <v>1648040</v>
      </c>
      <c r="I61" s="196">
        <f>1648040</f>
        <v>1648040</v>
      </c>
      <c r="J61" s="196">
        <f>1648040</f>
        <v>1648040</v>
      </c>
      <c r="K61" s="605">
        <f t="shared" si="22"/>
        <v>10611600.039999999</v>
      </c>
    </row>
    <row r="62" spans="1:11" ht="26.25" thickBot="1" x14ac:dyDescent="0.3">
      <c r="A62" s="1006"/>
      <c r="B62" s="578" t="s">
        <v>118</v>
      </c>
      <c r="C62" s="678" t="s">
        <v>98</v>
      </c>
      <c r="D62" s="91">
        <v>24952300</v>
      </c>
      <c r="E62" s="92">
        <v>16218864.6</v>
      </c>
      <c r="F62" s="197">
        <f>16218868.7+760000-400000</f>
        <v>16578868.699999999</v>
      </c>
      <c r="G62" s="197">
        <f>13058952.5-2412158.24</f>
        <v>10646794.26</v>
      </c>
      <c r="H62" s="197">
        <f>13058952.5-2264548.35</f>
        <v>10794404.15</v>
      </c>
      <c r="I62" s="197">
        <f>13058851.5-2215305.49</f>
        <v>10843546.01</v>
      </c>
      <c r="J62" s="197">
        <v>13058851.5</v>
      </c>
      <c r="K62" s="605">
        <f t="shared" si="22"/>
        <v>103093629.22000001</v>
      </c>
    </row>
    <row r="63" spans="1:11" ht="38.25" hidden="1" x14ac:dyDescent="0.25">
      <c r="A63" s="1006"/>
      <c r="B63" s="578" t="s">
        <v>119</v>
      </c>
      <c r="C63" s="678" t="s">
        <v>48</v>
      </c>
      <c r="D63" s="91">
        <v>191579239.53</v>
      </c>
      <c r="E63" s="92">
        <v>201629900</v>
      </c>
      <c r="F63" s="197">
        <v>178083300</v>
      </c>
      <c r="G63" s="197">
        <v>0</v>
      </c>
      <c r="H63" s="197">
        <v>0</v>
      </c>
      <c r="I63" s="197">
        <v>0</v>
      </c>
      <c r="J63" s="582">
        <v>0</v>
      </c>
      <c r="K63" s="605">
        <f t="shared" si="22"/>
        <v>571292439.52999997</v>
      </c>
    </row>
    <row r="64" spans="1:11" ht="26.25" hidden="1" thickBot="1" x14ac:dyDescent="0.3">
      <c r="A64" s="1006"/>
      <c r="B64" s="606" t="s">
        <v>120</v>
      </c>
      <c r="C64" s="679" t="s">
        <v>49</v>
      </c>
      <c r="D64" s="87">
        <v>1134200</v>
      </c>
      <c r="E64" s="88">
        <v>2565400</v>
      </c>
      <c r="F64" s="198">
        <v>2519100</v>
      </c>
      <c r="G64" s="198">
        <v>0</v>
      </c>
      <c r="H64" s="198">
        <v>0</v>
      </c>
      <c r="I64" s="198">
        <v>0</v>
      </c>
      <c r="J64" s="588">
        <v>0</v>
      </c>
      <c r="K64" s="599">
        <f t="shared" si="22"/>
        <v>6218700</v>
      </c>
    </row>
    <row r="65" spans="1:11" ht="26.25" thickBot="1" x14ac:dyDescent="0.3">
      <c r="A65" s="23" t="s">
        <v>66</v>
      </c>
      <c r="B65" s="580"/>
      <c r="C65" s="682" t="s">
        <v>504</v>
      </c>
      <c r="D65" s="681"/>
      <c r="E65" s="680"/>
      <c r="F65" s="202">
        <f>F66+F67</f>
        <v>0</v>
      </c>
      <c r="G65" s="202">
        <f>G66+G67</f>
        <v>26801758.240000002</v>
      </c>
      <c r="H65" s="202">
        <f>H66+H67</f>
        <v>25161648.350000001</v>
      </c>
      <c r="I65" s="202">
        <f>I66+I67</f>
        <v>24614505.490000002</v>
      </c>
      <c r="J65" s="202">
        <f>J66+J67</f>
        <v>0</v>
      </c>
      <c r="K65" s="596">
        <f t="shared" si="22"/>
        <v>76577912.080000013</v>
      </c>
    </row>
    <row r="66" spans="1:11" ht="63.75" x14ac:dyDescent="0.25">
      <c r="A66" s="692"/>
      <c r="B66" s="597" t="s">
        <v>505</v>
      </c>
      <c r="C66" s="693" t="s">
        <v>506</v>
      </c>
      <c r="D66" s="694"/>
      <c r="E66" s="694"/>
      <c r="F66" s="203">
        <v>0</v>
      </c>
      <c r="G66" s="712">
        <v>24389600</v>
      </c>
      <c r="H66" s="712">
        <v>22897100</v>
      </c>
      <c r="I66" s="712">
        <v>22399200</v>
      </c>
      <c r="J66" s="713">
        <v>0</v>
      </c>
      <c r="K66" s="599">
        <f t="shared" si="22"/>
        <v>69685900</v>
      </c>
    </row>
    <row r="67" spans="1:11" ht="64.5" thickBot="1" x14ac:dyDescent="0.3">
      <c r="A67" s="695"/>
      <c r="B67" s="583" t="s">
        <v>505</v>
      </c>
      <c r="C67" s="696" t="s">
        <v>506</v>
      </c>
      <c r="D67" s="697"/>
      <c r="E67" s="697"/>
      <c r="F67" s="204">
        <v>0</v>
      </c>
      <c r="G67" s="204">
        <v>2412158.2400000002</v>
      </c>
      <c r="H67" s="204">
        <v>2264548.35</v>
      </c>
      <c r="I67" s="204">
        <v>2215305.4900000002</v>
      </c>
      <c r="J67" s="589">
        <v>0</v>
      </c>
      <c r="K67" s="698">
        <f t="shared" si="22"/>
        <v>6892012.0800000001</v>
      </c>
    </row>
    <row r="68" spans="1:11" s="1" customFormat="1" x14ac:dyDescent="0.25">
      <c r="A68" s="955" t="s">
        <v>4</v>
      </c>
      <c r="B68" s="958"/>
      <c r="C68" s="671" t="s">
        <v>77</v>
      </c>
      <c r="D68" s="192">
        <f t="shared" ref="D68:J68" si="24">D71</f>
        <v>50851700</v>
      </c>
      <c r="E68" s="192">
        <f t="shared" si="24"/>
        <v>50510497.270000003</v>
      </c>
      <c r="F68" s="192">
        <f t="shared" si="24"/>
        <v>50510200</v>
      </c>
      <c r="G68" s="192">
        <f t="shared" si="24"/>
        <v>50510200</v>
      </c>
      <c r="H68" s="192">
        <f t="shared" si="24"/>
        <v>50510200</v>
      </c>
      <c r="I68" s="192">
        <f t="shared" si="24"/>
        <v>50510200</v>
      </c>
      <c r="J68" s="192">
        <f t="shared" si="24"/>
        <v>50510200</v>
      </c>
      <c r="K68" s="565">
        <f t="shared" ref="K68:K84" si="25">D68+E68+F68+G68+H68+I68+J68</f>
        <v>353913197.26999998</v>
      </c>
    </row>
    <row r="69" spans="1:11" s="1" customFormat="1" x14ac:dyDescent="0.25">
      <c r="A69" s="956"/>
      <c r="B69" s="959"/>
      <c r="C69" s="161" t="s">
        <v>161</v>
      </c>
      <c r="D69" s="207">
        <v>0</v>
      </c>
      <c r="E69" s="207">
        <v>0</v>
      </c>
      <c r="F69" s="207">
        <v>0</v>
      </c>
      <c r="G69" s="207">
        <v>0</v>
      </c>
      <c r="H69" s="207">
        <v>0</v>
      </c>
      <c r="I69" s="207">
        <v>0</v>
      </c>
      <c r="J69" s="207">
        <v>0</v>
      </c>
      <c r="K69" s="566">
        <f t="shared" si="25"/>
        <v>0</v>
      </c>
    </row>
    <row r="70" spans="1:11" s="1" customFormat="1" ht="15.75" thickBot="1" x14ac:dyDescent="0.3">
      <c r="A70" s="957"/>
      <c r="B70" s="960"/>
      <c r="C70" s="177" t="s">
        <v>162</v>
      </c>
      <c r="D70" s="592">
        <f>D68-D69</f>
        <v>50851700</v>
      </c>
      <c r="E70" s="208">
        <f t="shared" ref="E70:J70" si="26">E68-E69</f>
        <v>50510497.270000003</v>
      </c>
      <c r="F70" s="208">
        <f t="shared" si="26"/>
        <v>50510200</v>
      </c>
      <c r="G70" s="208">
        <f t="shared" si="26"/>
        <v>50510200</v>
      </c>
      <c r="H70" s="208">
        <f t="shared" si="26"/>
        <v>50510200</v>
      </c>
      <c r="I70" s="208">
        <f t="shared" si="26"/>
        <v>50510200</v>
      </c>
      <c r="J70" s="593">
        <f t="shared" si="26"/>
        <v>50510200</v>
      </c>
      <c r="K70" s="551">
        <f t="shared" si="25"/>
        <v>353913197.26999998</v>
      </c>
    </row>
    <row r="71" spans="1:11" s="1" customFormat="1" ht="15.75" thickBot="1" x14ac:dyDescent="0.3">
      <c r="A71" s="23" t="s">
        <v>66</v>
      </c>
      <c r="B71" s="40"/>
      <c r="C71" s="23" t="s">
        <v>78</v>
      </c>
      <c r="D71" s="202">
        <f>D72</f>
        <v>50851700</v>
      </c>
      <c r="E71" s="202">
        <f>E72</f>
        <v>50510497.270000003</v>
      </c>
      <c r="F71" s="202">
        <f>F72+F73</f>
        <v>50510200</v>
      </c>
      <c r="G71" s="202">
        <f>G72+G73</f>
        <v>50510200</v>
      </c>
      <c r="H71" s="202">
        <f>H72+H73</f>
        <v>50510200</v>
      </c>
      <c r="I71" s="202">
        <f>I72+I73</f>
        <v>50510200</v>
      </c>
      <c r="J71" s="202">
        <f>J72+J73</f>
        <v>50510200</v>
      </c>
      <c r="K71" s="596">
        <f t="shared" si="25"/>
        <v>353913197.26999998</v>
      </c>
    </row>
    <row r="72" spans="1:11" ht="51" hidden="1" x14ac:dyDescent="0.25">
      <c r="A72" s="25"/>
      <c r="B72" s="597" t="s">
        <v>121</v>
      </c>
      <c r="C72" s="25" t="s">
        <v>50</v>
      </c>
      <c r="D72" s="89">
        <v>50851700</v>
      </c>
      <c r="E72" s="90">
        <v>50510497.270000003</v>
      </c>
      <c r="F72" s="205">
        <f>40510200+10000000</f>
        <v>50510200</v>
      </c>
      <c r="G72" s="205">
        <v>0</v>
      </c>
      <c r="H72" s="205">
        <v>0</v>
      </c>
      <c r="I72" s="205">
        <v>0</v>
      </c>
      <c r="J72" s="205">
        <v>0</v>
      </c>
      <c r="K72" s="604">
        <f t="shared" si="25"/>
        <v>151872397.27000001</v>
      </c>
    </row>
    <row r="73" spans="1:11" ht="15.75" thickBot="1" x14ac:dyDescent="0.3">
      <c r="A73" s="25"/>
      <c r="B73" s="583" t="s">
        <v>121</v>
      </c>
      <c r="C73" s="30" t="s">
        <v>507</v>
      </c>
      <c r="D73" s="139"/>
      <c r="E73" s="98"/>
      <c r="F73" s="210">
        <v>0</v>
      </c>
      <c r="G73" s="203">
        <f>46100200+4410000</f>
        <v>50510200</v>
      </c>
      <c r="H73" s="203">
        <f>46100200+4410000</f>
        <v>50510200</v>
      </c>
      <c r="I73" s="203">
        <f>46100200+4410000</f>
        <v>50510200</v>
      </c>
      <c r="J73" s="203">
        <f>46100200+4410000</f>
        <v>50510200</v>
      </c>
      <c r="K73" s="599">
        <f t="shared" si="25"/>
        <v>202040800</v>
      </c>
    </row>
    <row r="74" spans="1:11" s="1" customFormat="1" ht="25.5" x14ac:dyDescent="0.25">
      <c r="A74" s="955" t="s">
        <v>4</v>
      </c>
      <c r="B74" s="955"/>
      <c r="C74" s="178" t="s">
        <v>79</v>
      </c>
      <c r="D74" s="206">
        <f t="shared" ref="D74:J74" si="27">D77</f>
        <v>141277400</v>
      </c>
      <c r="E74" s="206">
        <f t="shared" si="27"/>
        <v>117113654.38</v>
      </c>
      <c r="F74" s="206">
        <f t="shared" si="27"/>
        <v>110823006.63</v>
      </c>
      <c r="G74" s="206">
        <f t="shared" si="27"/>
        <v>92612194.180000007</v>
      </c>
      <c r="H74" s="206">
        <f t="shared" si="27"/>
        <v>92612194.180000007</v>
      </c>
      <c r="I74" s="206">
        <f t="shared" si="27"/>
        <v>92612194.180000007</v>
      </c>
      <c r="J74" s="206">
        <f t="shared" si="27"/>
        <v>92612194.180000007</v>
      </c>
      <c r="K74" s="565">
        <f t="shared" si="25"/>
        <v>739662837.73000002</v>
      </c>
    </row>
    <row r="75" spans="1:11" s="1" customFormat="1" x14ac:dyDescent="0.25">
      <c r="A75" s="956"/>
      <c r="B75" s="956"/>
      <c r="C75" s="174" t="s">
        <v>161</v>
      </c>
      <c r="D75" s="209">
        <f>0</f>
        <v>0</v>
      </c>
      <c r="E75" s="209">
        <f>0</f>
        <v>0</v>
      </c>
      <c r="F75" s="209">
        <f>0</f>
        <v>0</v>
      </c>
      <c r="G75" s="209">
        <f>0</f>
        <v>0</v>
      </c>
      <c r="H75" s="209">
        <f>0</f>
        <v>0</v>
      </c>
      <c r="I75" s="209">
        <f>0</f>
        <v>0</v>
      </c>
      <c r="J75" s="209">
        <f>0</f>
        <v>0</v>
      </c>
      <c r="K75" s="566">
        <f t="shared" si="25"/>
        <v>0</v>
      </c>
    </row>
    <row r="76" spans="1:11" s="1" customFormat="1" ht="15.75" thickBot="1" x14ac:dyDescent="0.3">
      <c r="A76" s="957"/>
      <c r="B76" s="957"/>
      <c r="C76" s="177" t="s">
        <v>162</v>
      </c>
      <c r="D76" s="592">
        <f>D74-D75</f>
        <v>141277400</v>
      </c>
      <c r="E76" s="208">
        <f t="shared" ref="E76:J76" si="28">E74-E75</f>
        <v>117113654.38</v>
      </c>
      <c r="F76" s="208">
        <f t="shared" si="28"/>
        <v>110823006.63</v>
      </c>
      <c r="G76" s="208">
        <f t="shared" si="28"/>
        <v>92612194.180000007</v>
      </c>
      <c r="H76" s="208">
        <f t="shared" si="28"/>
        <v>92612194.180000007</v>
      </c>
      <c r="I76" s="208">
        <f t="shared" si="28"/>
        <v>92612194.180000007</v>
      </c>
      <c r="J76" s="593">
        <f t="shared" si="28"/>
        <v>92612194.180000007</v>
      </c>
      <c r="K76" s="587">
        <f t="shared" si="25"/>
        <v>739662837.73000002</v>
      </c>
    </row>
    <row r="77" spans="1:11" s="1" customFormat="1" ht="70.5" customHeight="1" thickBot="1" x14ac:dyDescent="0.3">
      <c r="A77" s="23" t="s">
        <v>66</v>
      </c>
      <c r="B77" s="40"/>
      <c r="C77" s="28" t="s">
        <v>97</v>
      </c>
      <c r="D77" s="202">
        <f>D78+D79+D80</f>
        <v>141277400</v>
      </c>
      <c r="E77" s="202">
        <f t="shared" ref="E77:J77" si="29">E78+E79+E80</f>
        <v>117113654.38</v>
      </c>
      <c r="F77" s="202">
        <f t="shared" si="29"/>
        <v>110823006.63</v>
      </c>
      <c r="G77" s="202">
        <f t="shared" si="29"/>
        <v>92612194.180000007</v>
      </c>
      <c r="H77" s="202">
        <f t="shared" si="29"/>
        <v>92612194.180000007</v>
      </c>
      <c r="I77" s="202">
        <f t="shared" si="29"/>
        <v>92612194.180000007</v>
      </c>
      <c r="J77" s="202">
        <f t="shared" si="29"/>
        <v>92612194.180000007</v>
      </c>
      <c r="K77" s="182">
        <f t="shared" si="25"/>
        <v>739662837.73000002</v>
      </c>
    </row>
    <row r="78" spans="1:11" ht="51" hidden="1" x14ac:dyDescent="0.25">
      <c r="A78" s="964"/>
      <c r="B78" s="594" t="s">
        <v>122</v>
      </c>
      <c r="C78" s="27" t="s">
        <v>39</v>
      </c>
      <c r="D78" s="96">
        <v>2687500</v>
      </c>
      <c r="E78" s="97">
        <v>0</v>
      </c>
      <c r="F78" s="196">
        <v>0</v>
      </c>
      <c r="G78" s="196">
        <v>0</v>
      </c>
      <c r="H78" s="196">
        <v>0</v>
      </c>
      <c r="I78" s="196">
        <v>0</v>
      </c>
      <c r="J78" s="595">
        <v>0</v>
      </c>
      <c r="K78" s="572">
        <f t="shared" si="25"/>
        <v>2687500</v>
      </c>
    </row>
    <row r="79" spans="1:11" ht="28.5" customHeight="1" x14ac:dyDescent="0.25">
      <c r="A79" s="969"/>
      <c r="B79" s="578" t="s">
        <v>123</v>
      </c>
      <c r="C79" s="14" t="s">
        <v>80</v>
      </c>
      <c r="D79" s="91">
        <v>123496900</v>
      </c>
      <c r="E79" s="92">
        <v>108470654.38</v>
      </c>
      <c r="F79" s="197">
        <f>106470624.63-4290618</f>
        <v>102180006.63</v>
      </c>
      <c r="G79" s="197">
        <v>83969194.180000007</v>
      </c>
      <c r="H79" s="197">
        <v>83969194.180000007</v>
      </c>
      <c r="I79" s="197">
        <v>83969194.180000007</v>
      </c>
      <c r="J79" s="197">
        <v>83969194.180000007</v>
      </c>
      <c r="K79" s="564">
        <f t="shared" si="25"/>
        <v>670024337.73000002</v>
      </c>
    </row>
    <row r="80" spans="1:11" ht="26.25" thickBot="1" x14ac:dyDescent="0.3">
      <c r="A80" s="965"/>
      <c r="B80" s="583" t="s">
        <v>124</v>
      </c>
      <c r="C80" s="30" t="s">
        <v>51</v>
      </c>
      <c r="D80" s="93">
        <v>15093000</v>
      </c>
      <c r="E80" s="98">
        <v>8643000</v>
      </c>
      <c r="F80" s="204">
        <v>8643000</v>
      </c>
      <c r="G80" s="204">
        <v>8643000</v>
      </c>
      <c r="H80" s="204">
        <v>8643000</v>
      </c>
      <c r="I80" s="204">
        <v>8643000</v>
      </c>
      <c r="J80" s="714">
        <v>8643000</v>
      </c>
      <c r="K80" s="584">
        <f t="shared" si="25"/>
        <v>66951000</v>
      </c>
    </row>
    <row r="81" spans="1:11" s="1" customFormat="1" x14ac:dyDescent="0.25">
      <c r="A81" s="955" t="s">
        <v>4</v>
      </c>
      <c r="B81" s="958"/>
      <c r="C81" s="178" t="s">
        <v>81</v>
      </c>
      <c r="D81" s="206">
        <f>D84+D87+D90+D92+D94+D96</f>
        <v>157719300</v>
      </c>
      <c r="E81" s="206">
        <f t="shared" ref="E81:J81" si="30">E84+E87+E90+E92+E94+E96</f>
        <v>126417352.23999999</v>
      </c>
      <c r="F81" s="206">
        <f t="shared" si="30"/>
        <v>119638000.08999999</v>
      </c>
      <c r="G81" s="206">
        <f t="shared" si="30"/>
        <v>109456999.25999999</v>
      </c>
      <c r="H81" s="206">
        <f t="shared" si="30"/>
        <v>109456999.25999999</v>
      </c>
      <c r="I81" s="206">
        <f t="shared" si="30"/>
        <v>109456999.39</v>
      </c>
      <c r="J81" s="206">
        <f t="shared" si="30"/>
        <v>109456999.39</v>
      </c>
      <c r="K81" s="565">
        <f t="shared" si="25"/>
        <v>841602649.62999988</v>
      </c>
    </row>
    <row r="82" spans="1:11" s="1" customFormat="1" x14ac:dyDescent="0.25">
      <c r="A82" s="956"/>
      <c r="B82" s="959"/>
      <c r="C82" s="174" t="s">
        <v>161</v>
      </c>
      <c r="D82" s="585">
        <f>0</f>
        <v>0</v>
      </c>
      <c r="E82" s="199">
        <f>0</f>
        <v>0</v>
      </c>
      <c r="F82" s="199">
        <f>0</f>
        <v>0</v>
      </c>
      <c r="G82" s="199">
        <f>0</f>
        <v>0</v>
      </c>
      <c r="H82" s="199">
        <f>0</f>
        <v>0</v>
      </c>
      <c r="I82" s="199">
        <f>0</f>
        <v>0</v>
      </c>
      <c r="J82" s="586">
        <f>0</f>
        <v>0</v>
      </c>
      <c r="K82" s="566">
        <f t="shared" si="25"/>
        <v>0</v>
      </c>
    </row>
    <row r="83" spans="1:11" s="1" customFormat="1" ht="15.75" thickBot="1" x14ac:dyDescent="0.3">
      <c r="A83" s="957"/>
      <c r="B83" s="960"/>
      <c r="C83" s="177" t="s">
        <v>162</v>
      </c>
      <c r="D83" s="200">
        <f>D81-D82</f>
        <v>157719300</v>
      </c>
      <c r="E83" s="200">
        <f t="shared" ref="E83:J83" si="31">E81-E82</f>
        <v>126417352.23999999</v>
      </c>
      <c r="F83" s="200">
        <f t="shared" si="31"/>
        <v>119638000.08999999</v>
      </c>
      <c r="G83" s="200">
        <f t="shared" si="31"/>
        <v>109456999.25999999</v>
      </c>
      <c r="H83" s="200">
        <f t="shared" si="31"/>
        <v>109456999.25999999</v>
      </c>
      <c r="I83" s="200">
        <f t="shared" si="31"/>
        <v>109456999.39</v>
      </c>
      <c r="J83" s="200">
        <f t="shared" si="31"/>
        <v>109456999.39</v>
      </c>
      <c r="K83" s="587">
        <f t="shared" si="25"/>
        <v>841602649.62999988</v>
      </c>
    </row>
    <row r="84" spans="1:11" s="1" customFormat="1" ht="51.75" thickBot="1" x14ac:dyDescent="0.3">
      <c r="A84" s="23" t="s">
        <v>66</v>
      </c>
      <c r="B84" s="40"/>
      <c r="C84" s="23" t="s">
        <v>82</v>
      </c>
      <c r="D84" s="202">
        <f>D85+D86</f>
        <v>51325300</v>
      </c>
      <c r="E84" s="202">
        <f t="shared" ref="E84:J84" si="32">E85+E86</f>
        <v>49569292</v>
      </c>
      <c r="F84" s="202">
        <f t="shared" si="32"/>
        <v>49041567.780000001</v>
      </c>
      <c r="G84" s="202">
        <f t="shared" si="32"/>
        <v>43585405.539999999</v>
      </c>
      <c r="H84" s="202">
        <f t="shared" si="32"/>
        <v>43585405.539999999</v>
      </c>
      <c r="I84" s="202">
        <f t="shared" si="32"/>
        <v>43585405.539999999</v>
      </c>
      <c r="J84" s="202">
        <f t="shared" si="32"/>
        <v>43585405.539999999</v>
      </c>
      <c r="K84" s="575">
        <f t="shared" si="25"/>
        <v>324277781.94</v>
      </c>
    </row>
    <row r="85" spans="1:11" ht="51" x14ac:dyDescent="0.25">
      <c r="A85" s="964"/>
      <c r="B85" s="74" t="s">
        <v>125</v>
      </c>
      <c r="C85" s="32" t="s">
        <v>39</v>
      </c>
      <c r="D85" s="85">
        <v>743600</v>
      </c>
      <c r="E85" s="99">
        <v>2333100</v>
      </c>
      <c r="F85" s="205">
        <f>3281296.21</f>
        <v>3281296.21</v>
      </c>
      <c r="G85" s="205">
        <v>3281296.21</v>
      </c>
      <c r="H85" s="205">
        <v>3281296.21</v>
      </c>
      <c r="I85" s="205">
        <v>3281296.21</v>
      </c>
      <c r="J85" s="205">
        <v>3281296.21</v>
      </c>
      <c r="K85" s="577">
        <f t="shared" ref="K85:K98" si="33">D85+E85+F85+G85+H85+I85+J85</f>
        <v>19483181.050000001</v>
      </c>
    </row>
    <row r="86" spans="1:11" ht="64.5" thickBot="1" x14ac:dyDescent="0.3">
      <c r="A86" s="965"/>
      <c r="B86" s="583" t="s">
        <v>126</v>
      </c>
      <c r="C86" s="30" t="s">
        <v>70</v>
      </c>
      <c r="D86" s="93">
        <v>50581700</v>
      </c>
      <c r="E86" s="98">
        <v>47236192</v>
      </c>
      <c r="F86" s="204">
        <f>45519732-220000+460539.57</f>
        <v>45760271.57</v>
      </c>
      <c r="G86" s="204">
        <v>40304109.329999998</v>
      </c>
      <c r="H86" s="204">
        <v>40304109.329999998</v>
      </c>
      <c r="I86" s="204">
        <v>40304109.329999998</v>
      </c>
      <c r="J86" s="204">
        <v>40304109.329999998</v>
      </c>
      <c r="K86" s="584">
        <f t="shared" si="33"/>
        <v>304794600.88999993</v>
      </c>
    </row>
    <row r="87" spans="1:11" s="535" customFormat="1" ht="15.75" hidden="1" thickBot="1" x14ac:dyDescent="0.3">
      <c r="A87" s="652" t="s">
        <v>66</v>
      </c>
      <c r="B87" s="660"/>
      <c r="C87" s="661" t="s">
        <v>198</v>
      </c>
      <c r="D87" s="662">
        <f>D88+D89</f>
        <v>35919900</v>
      </c>
      <c r="E87" s="662">
        <f t="shared" ref="E87:J87" si="34">E88+E89</f>
        <v>7146573.0099999998</v>
      </c>
      <c r="F87" s="715">
        <f t="shared" si="34"/>
        <v>0</v>
      </c>
      <c r="G87" s="715">
        <f t="shared" si="34"/>
        <v>0</v>
      </c>
      <c r="H87" s="715">
        <f t="shared" si="34"/>
        <v>0</v>
      </c>
      <c r="I87" s="715">
        <f t="shared" si="34"/>
        <v>0</v>
      </c>
      <c r="J87" s="715">
        <f t="shared" si="34"/>
        <v>0</v>
      </c>
      <c r="K87" s="651">
        <f t="shared" si="33"/>
        <v>43066473.009999998</v>
      </c>
    </row>
    <row r="88" spans="1:11" s="535" customFormat="1" ht="58.5" hidden="1" customHeight="1" thickBot="1" x14ac:dyDescent="0.3">
      <c r="A88" s="968"/>
      <c r="B88" s="663"/>
      <c r="C88" s="657" t="s">
        <v>24</v>
      </c>
      <c r="D88" s="664">
        <v>6692000</v>
      </c>
      <c r="E88" s="665">
        <v>1133100.01</v>
      </c>
      <c r="F88" s="198">
        <v>0</v>
      </c>
      <c r="G88" s="198">
        <v>0</v>
      </c>
      <c r="H88" s="198">
        <v>0</v>
      </c>
      <c r="I88" s="198">
        <v>0</v>
      </c>
      <c r="J88" s="588">
        <v>0</v>
      </c>
      <c r="K88" s="666">
        <f>D88+E88+F88+G88+H88+I88+J88</f>
        <v>7825100.0099999998</v>
      </c>
    </row>
    <row r="89" spans="1:11" s="535" customFormat="1" ht="17.25" hidden="1" customHeight="1" thickBot="1" x14ac:dyDescent="0.3">
      <c r="A89" s="968"/>
      <c r="B89" s="667"/>
      <c r="C89" s="668" t="s">
        <v>197</v>
      </c>
      <c r="D89" s="669">
        <v>29227900</v>
      </c>
      <c r="E89" s="670">
        <v>6013473</v>
      </c>
      <c r="F89" s="204">
        <v>0</v>
      </c>
      <c r="G89" s="204">
        <v>0</v>
      </c>
      <c r="H89" s="204">
        <v>0</v>
      </c>
      <c r="I89" s="204">
        <v>0</v>
      </c>
      <c r="J89" s="589">
        <v>0</v>
      </c>
      <c r="K89" s="536">
        <f>D89+E89+F89+G89+H89+I89+J89</f>
        <v>35241373</v>
      </c>
    </row>
    <row r="90" spans="1:11" s="1" customFormat="1" ht="26.25" thickBot="1" x14ac:dyDescent="0.3">
      <c r="A90" s="23" t="s">
        <v>66</v>
      </c>
      <c r="B90" s="40"/>
      <c r="C90" s="23" t="s">
        <v>83</v>
      </c>
      <c r="D90" s="202">
        <f>D91</f>
        <v>3748100</v>
      </c>
      <c r="E90" s="202">
        <f t="shared" ref="E90:J90" si="35">E91</f>
        <v>3608099.37</v>
      </c>
      <c r="F90" s="202">
        <f t="shared" si="35"/>
        <v>3608099.37</v>
      </c>
      <c r="G90" s="202">
        <f t="shared" si="35"/>
        <v>3371276.69</v>
      </c>
      <c r="H90" s="202">
        <f t="shared" si="35"/>
        <v>3371276.69</v>
      </c>
      <c r="I90" s="202">
        <f t="shared" si="35"/>
        <v>3371276.69</v>
      </c>
      <c r="J90" s="202">
        <f t="shared" si="35"/>
        <v>3371276.69</v>
      </c>
      <c r="K90" s="182">
        <f t="shared" si="33"/>
        <v>24449405.500000004</v>
      </c>
    </row>
    <row r="91" spans="1:11" ht="64.5" thickBot="1" x14ac:dyDescent="0.3">
      <c r="A91" s="33"/>
      <c r="B91" s="590" t="s">
        <v>127</v>
      </c>
      <c r="C91" s="33" t="s">
        <v>52</v>
      </c>
      <c r="D91" s="100">
        <v>3748100</v>
      </c>
      <c r="E91" s="101">
        <v>3608099.37</v>
      </c>
      <c r="F91" s="210">
        <v>3608099.37</v>
      </c>
      <c r="G91" s="210">
        <v>3371276.69</v>
      </c>
      <c r="H91" s="210">
        <v>3371276.69</v>
      </c>
      <c r="I91" s="210">
        <v>3371276.69</v>
      </c>
      <c r="J91" s="210">
        <v>3371276.69</v>
      </c>
      <c r="K91" s="182">
        <f t="shared" si="33"/>
        <v>24449405.500000004</v>
      </c>
    </row>
    <row r="92" spans="1:11" s="1" customFormat="1" ht="26.25" thickBot="1" x14ac:dyDescent="0.3">
      <c r="A92" s="23" t="s">
        <v>66</v>
      </c>
      <c r="B92" s="40"/>
      <c r="C92" s="23" t="s">
        <v>84</v>
      </c>
      <c r="D92" s="202">
        <f>D93</f>
        <v>6590100</v>
      </c>
      <c r="E92" s="202">
        <f t="shared" ref="E92:J92" si="36">E93</f>
        <v>6029335.8600000003</v>
      </c>
      <c r="F92" s="202">
        <f t="shared" si="36"/>
        <v>6413870.2800000003</v>
      </c>
      <c r="G92" s="202">
        <f t="shared" si="36"/>
        <v>6705615.8700000001</v>
      </c>
      <c r="H92" s="202">
        <f t="shared" si="36"/>
        <v>6705615.8700000001</v>
      </c>
      <c r="I92" s="202">
        <f t="shared" si="36"/>
        <v>6705616</v>
      </c>
      <c r="J92" s="202">
        <f t="shared" si="36"/>
        <v>6705616</v>
      </c>
      <c r="K92" s="182">
        <f t="shared" si="33"/>
        <v>45855769.880000003</v>
      </c>
    </row>
    <row r="93" spans="1:11" ht="45.75" customHeight="1" thickBot="1" x14ac:dyDescent="0.3">
      <c r="A93" s="35"/>
      <c r="B93" s="580" t="s">
        <v>128</v>
      </c>
      <c r="C93" s="35" t="s">
        <v>53</v>
      </c>
      <c r="D93" s="102">
        <v>6590100</v>
      </c>
      <c r="E93" s="103">
        <v>6029335.8600000003</v>
      </c>
      <c r="F93" s="201">
        <f>6029335.86+384534.42</f>
        <v>6413870.2800000003</v>
      </c>
      <c r="G93" s="201">
        <v>6705615.8700000001</v>
      </c>
      <c r="H93" s="201">
        <v>6705615.8700000001</v>
      </c>
      <c r="I93" s="201">
        <v>6705616</v>
      </c>
      <c r="J93" s="201">
        <v>6705616</v>
      </c>
      <c r="K93" s="182">
        <f t="shared" si="33"/>
        <v>45855769.880000003</v>
      </c>
    </row>
    <row r="94" spans="1:11" s="1" customFormat="1" ht="39" thickBot="1" x14ac:dyDescent="0.3">
      <c r="A94" s="502" t="s">
        <v>66</v>
      </c>
      <c r="B94" s="591"/>
      <c r="C94" s="502" t="s">
        <v>190</v>
      </c>
      <c r="D94" s="211">
        <f>D95</f>
        <v>22438000</v>
      </c>
      <c r="E94" s="211">
        <f t="shared" ref="E94:J94" si="37">E95</f>
        <v>21243452</v>
      </c>
      <c r="F94" s="211">
        <f t="shared" si="37"/>
        <v>22190295.579999998</v>
      </c>
      <c r="G94" s="211">
        <f t="shared" si="37"/>
        <v>19198596.66</v>
      </c>
      <c r="H94" s="211">
        <f t="shared" si="37"/>
        <v>19198596.66</v>
      </c>
      <c r="I94" s="211">
        <f t="shared" si="37"/>
        <v>19198596.66</v>
      </c>
      <c r="J94" s="211">
        <f t="shared" si="37"/>
        <v>19198596.66</v>
      </c>
      <c r="K94" s="182">
        <f t="shared" si="33"/>
        <v>142666134.22</v>
      </c>
    </row>
    <row r="95" spans="1:11" ht="43.5" customHeight="1" thickBot="1" x14ac:dyDescent="0.3">
      <c r="A95" s="35"/>
      <c r="B95" s="580" t="s">
        <v>129</v>
      </c>
      <c r="C95" s="35" t="s">
        <v>54</v>
      </c>
      <c r="D95" s="102">
        <v>22438000</v>
      </c>
      <c r="E95" s="103">
        <v>21243452</v>
      </c>
      <c r="F95" s="201">
        <f>21243452+946843.58</f>
        <v>22190295.579999998</v>
      </c>
      <c r="G95" s="201">
        <v>19198596.66</v>
      </c>
      <c r="H95" s="201">
        <v>19198596.66</v>
      </c>
      <c r="I95" s="201">
        <v>19198596.66</v>
      </c>
      <c r="J95" s="201">
        <v>19198596.66</v>
      </c>
      <c r="K95" s="182">
        <f t="shared" si="33"/>
        <v>142666134.22</v>
      </c>
    </row>
    <row r="96" spans="1:11" s="1" customFormat="1" ht="15.75" thickBot="1" x14ac:dyDescent="0.3">
      <c r="A96" s="23" t="s">
        <v>66</v>
      </c>
      <c r="B96" s="40"/>
      <c r="C96" s="23" t="s">
        <v>85</v>
      </c>
      <c r="D96" s="202">
        <f>D97+D98</f>
        <v>37697900</v>
      </c>
      <c r="E96" s="202">
        <f t="shared" ref="E96:J96" si="38">E97+E98</f>
        <v>38820600</v>
      </c>
      <c r="F96" s="202">
        <f t="shared" si="38"/>
        <v>38384167.079999998</v>
      </c>
      <c r="G96" s="202">
        <f t="shared" si="38"/>
        <v>36596104.5</v>
      </c>
      <c r="H96" s="202">
        <f t="shared" si="38"/>
        <v>36596104.5</v>
      </c>
      <c r="I96" s="202">
        <f t="shared" si="38"/>
        <v>36596104.5</v>
      </c>
      <c r="J96" s="202">
        <f t="shared" si="38"/>
        <v>36596104.5</v>
      </c>
      <c r="K96" s="182">
        <f t="shared" si="33"/>
        <v>261287085.07999998</v>
      </c>
    </row>
    <row r="97" spans="1:11" ht="51" x14ac:dyDescent="0.25">
      <c r="A97" s="32"/>
      <c r="B97" s="74" t="s">
        <v>130</v>
      </c>
      <c r="C97" s="32" t="s">
        <v>39</v>
      </c>
      <c r="D97" s="85">
        <v>948700</v>
      </c>
      <c r="E97" s="99">
        <v>0</v>
      </c>
      <c r="F97" s="205">
        <v>1030245.5</v>
      </c>
      <c r="G97" s="205">
        <v>1030245.5</v>
      </c>
      <c r="H97" s="205">
        <v>1030245.5</v>
      </c>
      <c r="I97" s="205">
        <v>1030245.5</v>
      </c>
      <c r="J97" s="205">
        <v>1030245.5</v>
      </c>
      <c r="K97" s="575">
        <f t="shared" si="33"/>
        <v>6099927.5</v>
      </c>
    </row>
    <row r="98" spans="1:11" ht="15.75" thickBot="1" x14ac:dyDescent="0.3">
      <c r="A98" s="30"/>
      <c r="B98" s="583" t="s">
        <v>131</v>
      </c>
      <c r="C98" s="30" t="s">
        <v>55</v>
      </c>
      <c r="D98" s="93">
        <v>36749200</v>
      </c>
      <c r="E98" s="98">
        <v>38820600</v>
      </c>
      <c r="F98" s="204">
        <f>38820600-1550412.89+83734.47</f>
        <v>37353921.579999998</v>
      </c>
      <c r="G98" s="204">
        <v>35565859</v>
      </c>
      <c r="H98" s="204">
        <v>35565859</v>
      </c>
      <c r="I98" s="204">
        <v>35565859</v>
      </c>
      <c r="J98" s="204">
        <v>35565859</v>
      </c>
      <c r="K98" s="584">
        <f t="shared" si="33"/>
        <v>255187157.57999998</v>
      </c>
    </row>
    <row r="99" spans="1:11" x14ac:dyDescent="0.25">
      <c r="A99" s="982" t="s">
        <v>4</v>
      </c>
      <c r="B99" s="961"/>
      <c r="C99" s="450" t="s">
        <v>95</v>
      </c>
      <c r="D99" s="159">
        <f>D102+D109+D114</f>
        <v>75327200</v>
      </c>
      <c r="E99" s="159">
        <f t="shared" ref="E99:J99" si="39">E102+E109+E114</f>
        <v>75225288.870000005</v>
      </c>
      <c r="F99" s="192">
        <f t="shared" si="39"/>
        <v>78552863.050000012</v>
      </c>
      <c r="G99" s="192">
        <f t="shared" si="39"/>
        <v>148946856.55999997</v>
      </c>
      <c r="H99" s="192">
        <f t="shared" si="39"/>
        <v>149208492.55999997</v>
      </c>
      <c r="I99" s="192">
        <f t="shared" si="39"/>
        <v>148640010.51999998</v>
      </c>
      <c r="J99" s="192">
        <f t="shared" si="39"/>
        <v>148640010.51999998</v>
      </c>
      <c r="K99" s="172">
        <f t="shared" ref="K99:K109" si="40">D99+E99+F99+G99+H99+I99+J99</f>
        <v>824540722.07999992</v>
      </c>
    </row>
    <row r="100" spans="1:11" x14ac:dyDescent="0.25">
      <c r="A100" s="983"/>
      <c r="B100" s="962"/>
      <c r="C100" s="161" t="s">
        <v>161</v>
      </c>
      <c r="D100" s="173">
        <f>0</f>
        <v>0</v>
      </c>
      <c r="E100" s="173">
        <f>0</f>
        <v>0</v>
      </c>
      <c r="F100" s="199">
        <f>0</f>
        <v>0</v>
      </c>
      <c r="G100" s="199">
        <f>0</f>
        <v>0</v>
      </c>
      <c r="H100" s="199">
        <f>0</f>
        <v>0</v>
      </c>
      <c r="I100" s="199">
        <f>0</f>
        <v>0</v>
      </c>
      <c r="J100" s="199">
        <f>0</f>
        <v>0</v>
      </c>
      <c r="K100" s="164">
        <f t="shared" si="40"/>
        <v>0</v>
      </c>
    </row>
    <row r="101" spans="1:11" ht="15.75" thickBot="1" x14ac:dyDescent="0.3">
      <c r="A101" s="984"/>
      <c r="B101" s="963"/>
      <c r="C101" s="177" t="s">
        <v>162</v>
      </c>
      <c r="D101" s="155">
        <f>D99-D100</f>
        <v>75327200</v>
      </c>
      <c r="E101" s="155">
        <f t="shared" ref="E101:J101" si="41">E99-E100</f>
        <v>75225288.870000005</v>
      </c>
      <c r="F101" s="200">
        <f t="shared" si="41"/>
        <v>78552863.050000012</v>
      </c>
      <c r="G101" s="200">
        <f t="shared" si="41"/>
        <v>148946856.55999997</v>
      </c>
      <c r="H101" s="200">
        <f t="shared" si="41"/>
        <v>149208492.55999997</v>
      </c>
      <c r="I101" s="200">
        <f t="shared" si="41"/>
        <v>148640010.51999998</v>
      </c>
      <c r="J101" s="200">
        <f t="shared" si="41"/>
        <v>148640010.51999998</v>
      </c>
      <c r="K101" s="176">
        <f t="shared" si="40"/>
        <v>824540722.07999992</v>
      </c>
    </row>
    <row r="102" spans="1:11" ht="26.25" thickBot="1" x14ac:dyDescent="0.3">
      <c r="A102" s="19" t="s">
        <v>66</v>
      </c>
      <c r="B102" s="39"/>
      <c r="C102" s="23" t="s">
        <v>86</v>
      </c>
      <c r="D102" s="21">
        <f>D103+D104+D106+D107+D108</f>
        <v>3101500</v>
      </c>
      <c r="E102" s="21">
        <f>E103+E104+E106+E107+E108</f>
        <v>2207412.4</v>
      </c>
      <c r="F102" s="202">
        <f>F104+F105+F106+F107+F108</f>
        <v>1927412.4</v>
      </c>
      <c r="G102" s="202">
        <f>G104+G105+G106+G107+G108</f>
        <v>1421899.94</v>
      </c>
      <c r="H102" s="202">
        <f>H104+H105+H106+H107+H108</f>
        <v>1421899.94</v>
      </c>
      <c r="I102" s="202">
        <f>I104+I105+I106+I107+I108</f>
        <v>1421899.94</v>
      </c>
      <c r="J102" s="202">
        <f>J104+J105+J106+J107+J108</f>
        <v>1421899.94</v>
      </c>
      <c r="K102" s="29">
        <f t="shared" si="40"/>
        <v>12923924.559999999</v>
      </c>
    </row>
    <row r="103" spans="1:11" ht="54" hidden="1" customHeight="1" x14ac:dyDescent="0.25">
      <c r="A103" s="995"/>
      <c r="B103" s="521" t="s">
        <v>132</v>
      </c>
      <c r="C103" s="542" t="s">
        <v>56</v>
      </c>
      <c r="D103" s="537">
        <v>662200</v>
      </c>
      <c r="E103" s="543">
        <v>0</v>
      </c>
      <c r="F103" s="205">
        <v>0</v>
      </c>
      <c r="G103" s="205">
        <v>0</v>
      </c>
      <c r="H103" s="205">
        <v>0</v>
      </c>
      <c r="I103" s="205">
        <v>0</v>
      </c>
      <c r="J103" s="581">
        <v>0</v>
      </c>
      <c r="K103" s="536">
        <f t="shared" si="40"/>
        <v>662200</v>
      </c>
    </row>
    <row r="104" spans="1:11" ht="94.5" hidden="1" customHeight="1" x14ac:dyDescent="0.25">
      <c r="A104" s="996"/>
      <c r="B104" s="522" t="s">
        <v>133</v>
      </c>
      <c r="C104" s="526" t="s">
        <v>500</v>
      </c>
      <c r="D104" s="525">
        <f>370300+69800+295200</f>
        <v>735300</v>
      </c>
      <c r="E104" s="524">
        <f>440316.4+69996+295200</f>
        <v>805512.4</v>
      </c>
      <c r="F104" s="197">
        <v>585942.4</v>
      </c>
      <c r="G104" s="197">
        <v>0</v>
      </c>
      <c r="H104" s="197">
        <v>0</v>
      </c>
      <c r="I104" s="197">
        <v>0</v>
      </c>
      <c r="J104" s="582">
        <v>0</v>
      </c>
      <c r="K104" s="527">
        <f t="shared" si="40"/>
        <v>2126754.7999999998</v>
      </c>
    </row>
    <row r="105" spans="1:11" ht="130.5" customHeight="1" x14ac:dyDescent="0.25">
      <c r="A105" s="996"/>
      <c r="B105" s="578" t="s">
        <v>494</v>
      </c>
      <c r="C105" s="687" t="s">
        <v>510</v>
      </c>
      <c r="D105" s="91"/>
      <c r="E105" s="92"/>
      <c r="F105" s="197">
        <v>219570</v>
      </c>
      <c r="G105" s="197">
        <f>175300+124700</f>
        <v>300000</v>
      </c>
      <c r="H105" s="197">
        <f>175300+124700</f>
        <v>300000</v>
      </c>
      <c r="I105" s="197">
        <f>175300+124700</f>
        <v>300000</v>
      </c>
      <c r="J105" s="197">
        <f>175300+124700</f>
        <v>300000</v>
      </c>
      <c r="K105" s="577">
        <f t="shared" si="40"/>
        <v>1419570</v>
      </c>
    </row>
    <row r="106" spans="1:11" ht="69" customHeight="1" x14ac:dyDescent="0.25">
      <c r="A106" s="996"/>
      <c r="B106" s="578" t="s">
        <v>495</v>
      </c>
      <c r="C106" s="14" t="s">
        <v>430</v>
      </c>
      <c r="D106" s="91">
        <v>470000</v>
      </c>
      <c r="E106" s="92">
        <v>400000</v>
      </c>
      <c r="F106" s="197">
        <f>400000-280000</f>
        <v>120000</v>
      </c>
      <c r="G106" s="197">
        <f>65000+55000</f>
        <v>120000</v>
      </c>
      <c r="H106" s="197">
        <f>65000+55000</f>
        <v>120000</v>
      </c>
      <c r="I106" s="197">
        <f>65000+55000</f>
        <v>120000</v>
      </c>
      <c r="J106" s="197">
        <f>65000+55000</f>
        <v>120000</v>
      </c>
      <c r="K106" s="577">
        <f t="shared" si="40"/>
        <v>1470000</v>
      </c>
    </row>
    <row r="107" spans="1:11" ht="70.5" hidden="1" customHeight="1" x14ac:dyDescent="0.25">
      <c r="A107" s="996"/>
      <c r="B107" s="43"/>
      <c r="C107" s="515" t="s">
        <v>196</v>
      </c>
      <c r="D107" s="531">
        <v>967800</v>
      </c>
      <c r="E107" s="532">
        <v>0</v>
      </c>
      <c r="F107" s="198">
        <v>0</v>
      </c>
      <c r="G107" s="198">
        <v>0</v>
      </c>
      <c r="H107" s="198">
        <v>0</v>
      </c>
      <c r="I107" s="198">
        <v>0</v>
      </c>
      <c r="J107" s="588">
        <v>0</v>
      </c>
      <c r="K107" s="527">
        <f t="shared" si="40"/>
        <v>967800</v>
      </c>
    </row>
    <row r="108" spans="1:11" ht="118.5" customHeight="1" thickBot="1" x14ac:dyDescent="0.3">
      <c r="A108" s="997"/>
      <c r="B108" s="583" t="s">
        <v>134</v>
      </c>
      <c r="C108" s="30" t="s">
        <v>57</v>
      </c>
      <c r="D108" s="93">
        <v>266200</v>
      </c>
      <c r="E108" s="98">
        <v>1001900</v>
      </c>
      <c r="F108" s="204">
        <v>1001900</v>
      </c>
      <c r="G108" s="204">
        <v>1001899.94</v>
      </c>
      <c r="H108" s="204">
        <v>1001899.94</v>
      </c>
      <c r="I108" s="204">
        <v>1001899.94</v>
      </c>
      <c r="J108" s="204">
        <v>1001899.94</v>
      </c>
      <c r="K108" s="577">
        <f t="shared" si="40"/>
        <v>6277599.7599999998</v>
      </c>
    </row>
    <row r="109" spans="1:11" ht="39" thickBot="1" x14ac:dyDescent="0.3">
      <c r="A109" s="23" t="s">
        <v>66</v>
      </c>
      <c r="B109" s="40"/>
      <c r="C109" s="23" t="s">
        <v>87</v>
      </c>
      <c r="D109" s="202">
        <f>D110+D111+D112+D113</f>
        <v>72165700</v>
      </c>
      <c r="E109" s="202">
        <f t="shared" ref="E109:J109" si="42">E110+E111+E112+E113</f>
        <v>72957876.469999999</v>
      </c>
      <c r="F109" s="202">
        <f t="shared" si="42"/>
        <v>76565450.650000006</v>
      </c>
      <c r="G109" s="202">
        <f t="shared" si="42"/>
        <v>147464956.61999997</v>
      </c>
      <c r="H109" s="202">
        <f t="shared" si="42"/>
        <v>147726592.61999997</v>
      </c>
      <c r="I109" s="202">
        <f t="shared" si="42"/>
        <v>147158110.57999998</v>
      </c>
      <c r="J109" s="202">
        <f t="shared" si="42"/>
        <v>147158110.57999998</v>
      </c>
      <c r="K109" s="182">
        <f t="shared" si="40"/>
        <v>811196797.51999998</v>
      </c>
    </row>
    <row r="110" spans="1:11" ht="51" x14ac:dyDescent="0.25">
      <c r="A110" s="964"/>
      <c r="B110" s="74" t="s">
        <v>135</v>
      </c>
      <c r="C110" s="32" t="s">
        <v>58</v>
      </c>
      <c r="D110" s="85">
        <v>59794600</v>
      </c>
      <c r="E110" s="99">
        <v>63755300</v>
      </c>
      <c r="F110" s="205">
        <f>63755300+305242</f>
        <v>64060542</v>
      </c>
      <c r="G110" s="205">
        <v>133157813.2</v>
      </c>
      <c r="H110" s="205">
        <v>133419449.2</v>
      </c>
      <c r="I110" s="205">
        <v>132850967.16</v>
      </c>
      <c r="J110" s="205">
        <v>132850967.16</v>
      </c>
      <c r="K110" s="575">
        <f t="shared" ref="K110:K115" si="43">D110+E110+F110+G110+H110+I110+J110</f>
        <v>719889638.71999991</v>
      </c>
    </row>
    <row r="111" spans="1:11" ht="140.25" hidden="1" x14ac:dyDescent="0.25">
      <c r="A111" s="969"/>
      <c r="B111" s="578" t="s">
        <v>136</v>
      </c>
      <c r="C111" s="14" t="s">
        <v>59</v>
      </c>
      <c r="D111" s="91">
        <v>793500</v>
      </c>
      <c r="E111" s="92">
        <v>5000</v>
      </c>
      <c r="F111" s="197">
        <v>5000</v>
      </c>
      <c r="G111" s="197">
        <v>0</v>
      </c>
      <c r="H111" s="197">
        <v>0</v>
      </c>
      <c r="I111" s="197">
        <v>0</v>
      </c>
      <c r="J111" s="582">
        <v>0</v>
      </c>
      <c r="K111" s="577">
        <f t="shared" si="43"/>
        <v>803500</v>
      </c>
    </row>
    <row r="112" spans="1:11" ht="51" x14ac:dyDescent="0.25">
      <c r="A112" s="969"/>
      <c r="B112" s="578" t="s">
        <v>137</v>
      </c>
      <c r="C112" s="14" t="s">
        <v>60</v>
      </c>
      <c r="D112" s="91">
        <v>5142700</v>
      </c>
      <c r="E112" s="92">
        <v>2442883.7000000002</v>
      </c>
      <c r="F112" s="197">
        <v>2442883.7200000002</v>
      </c>
      <c r="G112" s="197">
        <v>5000000</v>
      </c>
      <c r="H112" s="197">
        <v>5000000</v>
      </c>
      <c r="I112" s="197">
        <v>5000000</v>
      </c>
      <c r="J112" s="197">
        <v>5000000</v>
      </c>
      <c r="K112" s="577">
        <f t="shared" si="43"/>
        <v>30028467.420000002</v>
      </c>
    </row>
    <row r="113" spans="1:11" ht="102.75" thickBot="1" x14ac:dyDescent="0.3">
      <c r="A113" s="965"/>
      <c r="B113" s="583" t="s">
        <v>138</v>
      </c>
      <c r="C113" s="30" t="s">
        <v>61</v>
      </c>
      <c r="D113" s="93">
        <v>6434900</v>
      </c>
      <c r="E113" s="98">
        <v>6754692.7699999996</v>
      </c>
      <c r="F113" s="204">
        <f>6756700+3300324.93</f>
        <v>10057024.93</v>
      </c>
      <c r="G113" s="204">
        <v>9307143.4199999999</v>
      </c>
      <c r="H113" s="204">
        <v>9307143.4199999999</v>
      </c>
      <c r="I113" s="204">
        <v>9307143.4199999999</v>
      </c>
      <c r="J113" s="204">
        <v>9307143.4199999999</v>
      </c>
      <c r="K113" s="584">
        <f t="shared" si="43"/>
        <v>60475191.380000003</v>
      </c>
    </row>
    <row r="114" spans="1:11" ht="51.75" thickBot="1" x14ac:dyDescent="0.3">
      <c r="A114" s="23" t="s">
        <v>66</v>
      </c>
      <c r="B114" s="40"/>
      <c r="C114" s="23" t="s">
        <v>88</v>
      </c>
      <c r="D114" s="202">
        <f>D115</f>
        <v>60000</v>
      </c>
      <c r="E114" s="202">
        <f t="shared" ref="E114:J114" si="44">E115</f>
        <v>60000</v>
      </c>
      <c r="F114" s="202">
        <f t="shared" si="44"/>
        <v>60000</v>
      </c>
      <c r="G114" s="202">
        <f t="shared" si="44"/>
        <v>60000</v>
      </c>
      <c r="H114" s="202">
        <f t="shared" si="44"/>
        <v>60000</v>
      </c>
      <c r="I114" s="202">
        <f t="shared" si="44"/>
        <v>60000</v>
      </c>
      <c r="J114" s="202">
        <f t="shared" si="44"/>
        <v>60000</v>
      </c>
      <c r="K114" s="182">
        <f t="shared" si="43"/>
        <v>420000</v>
      </c>
    </row>
    <row r="115" spans="1:11" ht="51.75" thickBot="1" x14ac:dyDescent="0.3">
      <c r="A115" s="35"/>
      <c r="B115" s="580" t="s">
        <v>139</v>
      </c>
      <c r="C115" s="36" t="s">
        <v>62</v>
      </c>
      <c r="D115" s="102">
        <v>60000</v>
      </c>
      <c r="E115" s="103">
        <v>60000</v>
      </c>
      <c r="F115" s="201">
        <v>60000</v>
      </c>
      <c r="G115" s="201">
        <f>30000+25000+5000</f>
        <v>60000</v>
      </c>
      <c r="H115" s="201">
        <f>30000+25000+5000</f>
        <v>60000</v>
      </c>
      <c r="I115" s="201">
        <f>30000+25000+5000</f>
        <v>60000</v>
      </c>
      <c r="J115" s="716">
        <v>60000</v>
      </c>
      <c r="K115" s="182">
        <f t="shared" si="43"/>
        <v>420000</v>
      </c>
    </row>
    <row r="116" spans="1:11" ht="25.5" x14ac:dyDescent="0.25">
      <c r="A116" s="955" t="s">
        <v>4</v>
      </c>
      <c r="B116" s="958"/>
      <c r="C116" s="503" t="s">
        <v>89</v>
      </c>
      <c r="D116" s="192">
        <f t="shared" ref="D116:J116" si="45">D119</f>
        <v>2961964300</v>
      </c>
      <c r="E116" s="192">
        <f t="shared" si="45"/>
        <v>3997725000</v>
      </c>
      <c r="F116" s="192">
        <f t="shared" si="45"/>
        <v>3894508000</v>
      </c>
      <c r="G116" s="192">
        <f t="shared" si="45"/>
        <v>3893885500</v>
      </c>
      <c r="H116" s="192">
        <f t="shared" si="45"/>
        <v>3893885500</v>
      </c>
      <c r="I116" s="192">
        <f t="shared" si="45"/>
        <v>3893885500</v>
      </c>
      <c r="J116" s="192">
        <f t="shared" si="45"/>
        <v>3893885500</v>
      </c>
      <c r="K116" s="565">
        <f t="shared" ref="K116:K136" si="46">D116+E116+F116+G116+H116+I116+J116</f>
        <v>26429739300</v>
      </c>
    </row>
    <row r="117" spans="1:11" x14ac:dyDescent="0.25">
      <c r="A117" s="956"/>
      <c r="B117" s="959"/>
      <c r="C117" s="161" t="s">
        <v>161</v>
      </c>
      <c r="D117" s="199">
        <f>0</f>
        <v>0</v>
      </c>
      <c r="E117" s="199">
        <f>0</f>
        <v>0</v>
      </c>
      <c r="F117" s="199">
        <f>0</f>
        <v>0</v>
      </c>
      <c r="G117" s="199">
        <f>0</f>
        <v>0</v>
      </c>
      <c r="H117" s="199">
        <f>0</f>
        <v>0</v>
      </c>
      <c r="I117" s="199">
        <f>0</f>
        <v>0</v>
      </c>
      <c r="J117" s="199">
        <f>0</f>
        <v>0</v>
      </c>
      <c r="K117" s="566">
        <f t="shared" si="46"/>
        <v>0</v>
      </c>
    </row>
    <row r="118" spans="1:11" ht="15.75" thickBot="1" x14ac:dyDescent="0.3">
      <c r="A118" s="957"/>
      <c r="B118" s="960"/>
      <c r="C118" s="177" t="s">
        <v>162</v>
      </c>
      <c r="D118" s="200">
        <f>D116-D117</f>
        <v>2961964300</v>
      </c>
      <c r="E118" s="200">
        <f t="shared" ref="E118:J118" si="47">E116-E117</f>
        <v>3997725000</v>
      </c>
      <c r="F118" s="200">
        <f t="shared" si="47"/>
        <v>3894508000</v>
      </c>
      <c r="G118" s="200">
        <f t="shared" si="47"/>
        <v>3893885500</v>
      </c>
      <c r="H118" s="200">
        <f t="shared" si="47"/>
        <v>3893885500</v>
      </c>
      <c r="I118" s="200">
        <f t="shared" si="47"/>
        <v>3893885500</v>
      </c>
      <c r="J118" s="200">
        <f t="shared" si="47"/>
        <v>3893885500</v>
      </c>
      <c r="K118" s="567">
        <f t="shared" si="46"/>
        <v>26429739300</v>
      </c>
    </row>
    <row r="119" spans="1:11" ht="39" thickBot="1" x14ac:dyDescent="0.3">
      <c r="A119" s="23" t="s">
        <v>90</v>
      </c>
      <c r="B119" s="40"/>
      <c r="C119" s="23" t="s">
        <v>91</v>
      </c>
      <c r="D119" s="202">
        <f>D120</f>
        <v>2961964300</v>
      </c>
      <c r="E119" s="202">
        <f>E120</f>
        <v>3997725000</v>
      </c>
      <c r="F119" s="202">
        <f>F120+F121</f>
        <v>3894508000</v>
      </c>
      <c r="G119" s="202">
        <f>G120+G121</f>
        <v>3893885500</v>
      </c>
      <c r="H119" s="202">
        <f>H120+H121</f>
        <v>3893885500</v>
      </c>
      <c r="I119" s="202">
        <f>I120+I121</f>
        <v>3893885500</v>
      </c>
      <c r="J119" s="202">
        <f>J120+J121</f>
        <v>3893885500</v>
      </c>
      <c r="K119" s="182">
        <f t="shared" si="46"/>
        <v>26429739300</v>
      </c>
    </row>
    <row r="120" spans="1:11" ht="38.25" x14ac:dyDescent="0.25">
      <c r="A120" s="964"/>
      <c r="B120" s="689" t="s">
        <v>140</v>
      </c>
      <c r="C120" s="688" t="s">
        <v>63</v>
      </c>
      <c r="D120" s="691">
        <v>2961964300</v>
      </c>
      <c r="E120" s="690">
        <v>3997725000</v>
      </c>
      <c r="F120" s="712">
        <v>3894508000</v>
      </c>
      <c r="G120" s="712">
        <v>0</v>
      </c>
      <c r="H120" s="712">
        <v>0</v>
      </c>
      <c r="I120" s="712">
        <v>0</v>
      </c>
      <c r="J120" s="712">
        <v>0</v>
      </c>
      <c r="K120" s="575">
        <f t="shared" si="46"/>
        <v>10854197300</v>
      </c>
    </row>
    <row r="121" spans="1:11" ht="15.75" thickBot="1" x14ac:dyDescent="0.3">
      <c r="A121" s="965"/>
      <c r="B121" s="583" t="s">
        <v>508</v>
      </c>
      <c r="C121" s="30" t="s">
        <v>509</v>
      </c>
      <c r="D121" s="139"/>
      <c r="E121" s="98"/>
      <c r="F121" s="204">
        <v>0</v>
      </c>
      <c r="G121" s="204">
        <v>3893885500</v>
      </c>
      <c r="H121" s="204">
        <v>3893885500</v>
      </c>
      <c r="I121" s="204">
        <v>3893885500</v>
      </c>
      <c r="J121" s="204">
        <v>3893885500</v>
      </c>
      <c r="K121" s="584">
        <f t="shared" si="46"/>
        <v>15575542000</v>
      </c>
    </row>
    <row r="122" spans="1:11" ht="25.5" x14ac:dyDescent="0.25">
      <c r="A122" s="955" t="s">
        <v>4</v>
      </c>
      <c r="B122" s="958"/>
      <c r="C122" s="503" t="s">
        <v>92</v>
      </c>
      <c r="D122" s="192">
        <f t="shared" ref="D122:J123" si="48">D125</f>
        <v>2084100</v>
      </c>
      <c r="E122" s="192">
        <f t="shared" si="48"/>
        <v>1875700</v>
      </c>
      <c r="F122" s="192">
        <f t="shared" si="48"/>
        <v>1875700</v>
      </c>
      <c r="G122" s="192">
        <f t="shared" si="48"/>
        <v>1980700</v>
      </c>
      <c r="H122" s="192">
        <f t="shared" si="48"/>
        <v>1980700</v>
      </c>
      <c r="I122" s="192">
        <f t="shared" si="48"/>
        <v>1980700</v>
      </c>
      <c r="J122" s="192">
        <f t="shared" si="48"/>
        <v>0</v>
      </c>
      <c r="K122" s="565">
        <f t="shared" si="46"/>
        <v>11777600</v>
      </c>
    </row>
    <row r="123" spans="1:11" x14ac:dyDescent="0.25">
      <c r="A123" s="956"/>
      <c r="B123" s="959"/>
      <c r="C123" s="161" t="s">
        <v>161</v>
      </c>
      <c r="D123" s="199">
        <f t="shared" ref="D123:I123" si="49">D126</f>
        <v>2084100</v>
      </c>
      <c r="E123" s="199">
        <f t="shared" si="49"/>
        <v>1875700</v>
      </c>
      <c r="F123" s="199">
        <f t="shared" si="49"/>
        <v>1875700</v>
      </c>
      <c r="G123" s="199">
        <f t="shared" si="49"/>
        <v>1980700</v>
      </c>
      <c r="H123" s="199">
        <f t="shared" si="49"/>
        <v>1980700</v>
      </c>
      <c r="I123" s="199">
        <f t="shared" si="49"/>
        <v>1980700</v>
      </c>
      <c r="J123" s="199">
        <f t="shared" si="48"/>
        <v>0</v>
      </c>
      <c r="K123" s="566">
        <f t="shared" si="46"/>
        <v>11777600</v>
      </c>
    </row>
    <row r="124" spans="1:11" ht="15.75" thickBot="1" x14ac:dyDescent="0.3">
      <c r="A124" s="957"/>
      <c r="B124" s="960"/>
      <c r="C124" s="177" t="s">
        <v>162</v>
      </c>
      <c r="D124" s="200">
        <f>D122-D123</f>
        <v>0</v>
      </c>
      <c r="E124" s="200">
        <f t="shared" ref="E124:J124" si="50">E122-E123</f>
        <v>0</v>
      </c>
      <c r="F124" s="200">
        <f t="shared" si="50"/>
        <v>0</v>
      </c>
      <c r="G124" s="200">
        <f t="shared" si="50"/>
        <v>0</v>
      </c>
      <c r="H124" s="200">
        <f t="shared" si="50"/>
        <v>0</v>
      </c>
      <c r="I124" s="200">
        <f t="shared" si="50"/>
        <v>0</v>
      </c>
      <c r="J124" s="200">
        <f t="shared" si="50"/>
        <v>0</v>
      </c>
      <c r="K124" s="567">
        <f t="shared" si="46"/>
        <v>0</v>
      </c>
    </row>
    <row r="125" spans="1:11" ht="39" thickBot="1" x14ac:dyDescent="0.3">
      <c r="A125" s="23" t="s">
        <v>66</v>
      </c>
      <c r="B125" s="40"/>
      <c r="C125" s="23" t="s">
        <v>93</v>
      </c>
      <c r="D125" s="202">
        <f>D126</f>
        <v>2084100</v>
      </c>
      <c r="E125" s="202">
        <f t="shared" ref="E125:J125" si="51">E126</f>
        <v>1875700</v>
      </c>
      <c r="F125" s="202">
        <f t="shared" si="51"/>
        <v>1875700</v>
      </c>
      <c r="G125" s="202">
        <f t="shared" si="51"/>
        <v>1980700</v>
      </c>
      <c r="H125" s="202">
        <f t="shared" si="51"/>
        <v>1980700</v>
      </c>
      <c r="I125" s="202">
        <f t="shared" si="51"/>
        <v>1980700</v>
      </c>
      <c r="J125" s="202">
        <f t="shared" si="51"/>
        <v>0</v>
      </c>
      <c r="K125" s="182">
        <f t="shared" si="46"/>
        <v>11777600</v>
      </c>
    </row>
    <row r="126" spans="1:11" ht="64.5" thickBot="1" x14ac:dyDescent="0.3">
      <c r="A126" s="35"/>
      <c r="B126" s="580" t="s">
        <v>141</v>
      </c>
      <c r="C126" s="35" t="s">
        <v>64</v>
      </c>
      <c r="D126" s="102">
        <v>2084100</v>
      </c>
      <c r="E126" s="103">
        <v>1875700</v>
      </c>
      <c r="F126" s="201">
        <v>1875700</v>
      </c>
      <c r="G126" s="201">
        <v>1980700</v>
      </c>
      <c r="H126" s="201">
        <v>1980700</v>
      </c>
      <c r="I126" s="201">
        <v>1980700</v>
      </c>
      <c r="J126" s="716">
        <v>0</v>
      </c>
      <c r="K126" s="182">
        <f t="shared" si="46"/>
        <v>11777600</v>
      </c>
    </row>
    <row r="127" spans="1:11" x14ac:dyDescent="0.25">
      <c r="A127" s="955" t="s">
        <v>4</v>
      </c>
      <c r="B127" s="958"/>
      <c r="C127" s="503" t="s">
        <v>38</v>
      </c>
      <c r="D127" s="192">
        <f>D130</f>
        <v>8894300</v>
      </c>
      <c r="E127" s="192">
        <f t="shared" ref="E127:J127" si="52">E130</f>
        <v>11069675</v>
      </c>
      <c r="F127" s="192">
        <f t="shared" si="52"/>
        <v>9005190</v>
      </c>
      <c r="G127" s="192">
        <f t="shared" si="52"/>
        <v>8104671</v>
      </c>
      <c r="H127" s="192">
        <f t="shared" si="52"/>
        <v>8104671</v>
      </c>
      <c r="I127" s="192">
        <f t="shared" si="52"/>
        <v>8104671</v>
      </c>
      <c r="J127" s="192">
        <f t="shared" si="52"/>
        <v>8104671</v>
      </c>
      <c r="K127" s="565">
        <f t="shared" si="46"/>
        <v>61387849</v>
      </c>
    </row>
    <row r="128" spans="1:11" x14ac:dyDescent="0.25">
      <c r="A128" s="956"/>
      <c r="B128" s="959"/>
      <c r="C128" s="161" t="s">
        <v>161</v>
      </c>
      <c r="D128" s="199">
        <f>D131+D133</f>
        <v>8449500</v>
      </c>
      <c r="E128" s="199">
        <f t="shared" ref="E128:J128" si="53">E131+E133</f>
        <v>0</v>
      </c>
      <c r="F128" s="199">
        <f t="shared" si="53"/>
        <v>0</v>
      </c>
      <c r="G128" s="199">
        <f t="shared" si="53"/>
        <v>0</v>
      </c>
      <c r="H128" s="199">
        <f t="shared" si="53"/>
        <v>0</v>
      </c>
      <c r="I128" s="199">
        <f t="shared" si="53"/>
        <v>0</v>
      </c>
      <c r="J128" s="199">
        <f t="shared" si="53"/>
        <v>0</v>
      </c>
      <c r="K128" s="566">
        <f t="shared" si="46"/>
        <v>8449500</v>
      </c>
    </row>
    <row r="129" spans="1:11" ht="15.75" thickBot="1" x14ac:dyDescent="0.3">
      <c r="A129" s="957"/>
      <c r="B129" s="960"/>
      <c r="C129" s="177" t="s">
        <v>162</v>
      </c>
      <c r="D129" s="200">
        <f>D127-D128</f>
        <v>444800</v>
      </c>
      <c r="E129" s="200">
        <f t="shared" ref="E129:J129" si="54">E127-E128</f>
        <v>11069675</v>
      </c>
      <c r="F129" s="200">
        <f t="shared" si="54"/>
        <v>9005190</v>
      </c>
      <c r="G129" s="200">
        <f t="shared" si="54"/>
        <v>8104671</v>
      </c>
      <c r="H129" s="200">
        <f t="shared" si="54"/>
        <v>8104671</v>
      </c>
      <c r="I129" s="200">
        <f t="shared" si="54"/>
        <v>8104671</v>
      </c>
      <c r="J129" s="200">
        <f t="shared" si="54"/>
        <v>8104671</v>
      </c>
      <c r="K129" s="567">
        <f t="shared" si="46"/>
        <v>52938349</v>
      </c>
    </row>
    <row r="130" spans="1:11" ht="26.25" thickBot="1" x14ac:dyDescent="0.3">
      <c r="A130" s="23" t="s">
        <v>66</v>
      </c>
      <c r="B130" s="40"/>
      <c r="C130" s="23" t="s">
        <v>94</v>
      </c>
      <c r="D130" s="202">
        <f>D131+D132+D133+D134+D135+D136</f>
        <v>8894300</v>
      </c>
      <c r="E130" s="202">
        <f t="shared" ref="E130:J130" si="55">E131+E132+E133+E134+E135+E136</f>
        <v>11069675</v>
      </c>
      <c r="F130" s="202">
        <f t="shared" si="55"/>
        <v>9005190</v>
      </c>
      <c r="G130" s="202">
        <f t="shared" si="55"/>
        <v>8104671</v>
      </c>
      <c r="H130" s="202">
        <f t="shared" si="55"/>
        <v>8104671</v>
      </c>
      <c r="I130" s="202">
        <f t="shared" si="55"/>
        <v>8104671</v>
      </c>
      <c r="J130" s="202">
        <f t="shared" si="55"/>
        <v>8104671</v>
      </c>
      <c r="K130" s="182">
        <f t="shared" si="46"/>
        <v>61387849</v>
      </c>
    </row>
    <row r="131" spans="1:11" ht="43.5" customHeight="1" x14ac:dyDescent="0.25">
      <c r="A131" s="973"/>
      <c r="B131" s="574"/>
      <c r="C131" s="146" t="s">
        <v>211</v>
      </c>
      <c r="D131" s="114">
        <f>3773.7*1000</f>
        <v>3773700</v>
      </c>
      <c r="E131" s="114">
        <v>0</v>
      </c>
      <c r="F131" s="114">
        <v>0</v>
      </c>
      <c r="G131" s="114">
        <f>F131</f>
        <v>0</v>
      </c>
      <c r="H131" s="114">
        <f t="shared" ref="H131:J134" si="56">G131</f>
        <v>0</v>
      </c>
      <c r="I131" s="114">
        <f t="shared" si="56"/>
        <v>0</v>
      </c>
      <c r="J131" s="114">
        <f t="shared" si="56"/>
        <v>0</v>
      </c>
      <c r="K131" s="575">
        <f t="shared" si="46"/>
        <v>3773700</v>
      </c>
    </row>
    <row r="132" spans="1:11" ht="42.75" customHeight="1" x14ac:dyDescent="0.25">
      <c r="A132" s="974"/>
      <c r="B132" s="576"/>
      <c r="C132" s="135" t="s">
        <v>212</v>
      </c>
      <c r="D132" s="115">
        <f>198.7*1000</f>
        <v>198700</v>
      </c>
      <c r="E132" s="115">
        <v>0</v>
      </c>
      <c r="F132" s="115">
        <v>0</v>
      </c>
      <c r="G132" s="115">
        <v>0</v>
      </c>
      <c r="H132" s="115">
        <f t="shared" si="56"/>
        <v>0</v>
      </c>
      <c r="I132" s="115">
        <f t="shared" si="56"/>
        <v>0</v>
      </c>
      <c r="J132" s="115">
        <f t="shared" si="56"/>
        <v>0</v>
      </c>
      <c r="K132" s="577">
        <f t="shared" si="46"/>
        <v>198700</v>
      </c>
    </row>
    <row r="133" spans="1:11" ht="44.25" customHeight="1" x14ac:dyDescent="0.25">
      <c r="A133" s="974"/>
      <c r="B133" s="576"/>
      <c r="C133" s="135" t="s">
        <v>213</v>
      </c>
      <c r="D133" s="115">
        <f>4675.8*1000</f>
        <v>4675800</v>
      </c>
      <c r="E133" s="115">
        <v>0</v>
      </c>
      <c r="F133" s="115">
        <v>0</v>
      </c>
      <c r="G133" s="115">
        <f>F133</f>
        <v>0</v>
      </c>
      <c r="H133" s="115">
        <f t="shared" si="56"/>
        <v>0</v>
      </c>
      <c r="I133" s="115">
        <f t="shared" si="56"/>
        <v>0</v>
      </c>
      <c r="J133" s="115">
        <f t="shared" si="56"/>
        <v>0</v>
      </c>
      <c r="K133" s="577">
        <f t="shared" si="46"/>
        <v>4675800</v>
      </c>
    </row>
    <row r="134" spans="1:11" ht="45" customHeight="1" x14ac:dyDescent="0.25">
      <c r="A134" s="974"/>
      <c r="B134" s="576"/>
      <c r="C134" s="135" t="s">
        <v>214</v>
      </c>
      <c r="D134" s="116">
        <f>246.1*1000</f>
        <v>246100</v>
      </c>
      <c r="E134" s="116">
        <v>0</v>
      </c>
      <c r="F134" s="116">
        <v>0</v>
      </c>
      <c r="G134" s="116">
        <v>0</v>
      </c>
      <c r="H134" s="116">
        <f t="shared" si="56"/>
        <v>0</v>
      </c>
      <c r="I134" s="116">
        <f t="shared" si="56"/>
        <v>0</v>
      </c>
      <c r="J134" s="116">
        <f t="shared" si="56"/>
        <v>0</v>
      </c>
      <c r="K134" s="577">
        <f t="shared" si="46"/>
        <v>246100</v>
      </c>
    </row>
    <row r="135" spans="1:11" ht="63.75" x14ac:dyDescent="0.25">
      <c r="A135" s="974"/>
      <c r="B135" s="578" t="s">
        <v>142</v>
      </c>
      <c r="C135" s="22" t="s">
        <v>36</v>
      </c>
      <c r="D135" s="91">
        <v>0</v>
      </c>
      <c r="E135" s="115">
        <v>7505190</v>
      </c>
      <c r="F135" s="197">
        <v>6005190</v>
      </c>
      <c r="G135" s="197">
        <v>5404671</v>
      </c>
      <c r="H135" s="197">
        <v>5404671</v>
      </c>
      <c r="I135" s="197">
        <v>5404671</v>
      </c>
      <c r="J135" s="197">
        <v>5404671</v>
      </c>
      <c r="K135" s="577">
        <f t="shared" si="46"/>
        <v>35129064</v>
      </c>
    </row>
    <row r="136" spans="1:11" ht="111" customHeight="1" thickBot="1" x14ac:dyDescent="0.3">
      <c r="A136" s="975"/>
      <c r="B136" s="579" t="s">
        <v>143</v>
      </c>
      <c r="C136" s="30" t="s">
        <v>431</v>
      </c>
      <c r="D136" s="139">
        <v>0</v>
      </c>
      <c r="E136" s="117">
        <v>3564485</v>
      </c>
      <c r="F136" s="204">
        <v>3000000</v>
      </c>
      <c r="G136" s="204">
        <v>2700000</v>
      </c>
      <c r="H136" s="204">
        <v>2700000</v>
      </c>
      <c r="I136" s="204">
        <v>2700000</v>
      </c>
      <c r="J136" s="204">
        <v>2700000</v>
      </c>
      <c r="K136" s="577">
        <f t="shared" si="46"/>
        <v>17364485</v>
      </c>
    </row>
    <row r="137" spans="1:11" x14ac:dyDescent="0.25">
      <c r="A137" s="979" t="s">
        <v>4</v>
      </c>
      <c r="B137" s="1002"/>
      <c r="C137" s="179" t="s">
        <v>37</v>
      </c>
      <c r="D137" s="192">
        <f>D140</f>
        <v>10000000</v>
      </c>
      <c r="E137" s="192">
        <f t="shared" ref="E137:J137" si="57">E140</f>
        <v>1000000</v>
      </c>
      <c r="F137" s="192">
        <f>F138+F139</f>
        <v>1000000</v>
      </c>
      <c r="G137" s="192">
        <f t="shared" si="57"/>
        <v>0</v>
      </c>
      <c r="H137" s="192">
        <f t="shared" si="57"/>
        <v>0</v>
      </c>
      <c r="I137" s="192">
        <f t="shared" si="57"/>
        <v>0</v>
      </c>
      <c r="J137" s="192">
        <f t="shared" si="57"/>
        <v>0</v>
      </c>
      <c r="K137" s="565">
        <f t="shared" ref="K137:K185" si="58">D137+E137+F137+G137+H137+I137+J137</f>
        <v>12000000</v>
      </c>
    </row>
    <row r="138" spans="1:11" x14ac:dyDescent="0.25">
      <c r="A138" s="980"/>
      <c r="B138" s="1003"/>
      <c r="C138" s="161" t="s">
        <v>161</v>
      </c>
      <c r="D138" s="199">
        <f>D143</f>
        <v>5000000</v>
      </c>
      <c r="E138" s="199">
        <f t="shared" ref="E138:J138" si="59">E143</f>
        <v>500000</v>
      </c>
      <c r="F138" s="199">
        <f>F143</f>
        <v>600000</v>
      </c>
      <c r="G138" s="199">
        <f t="shared" si="59"/>
        <v>0</v>
      </c>
      <c r="H138" s="199">
        <f t="shared" si="59"/>
        <v>0</v>
      </c>
      <c r="I138" s="199">
        <f t="shared" si="59"/>
        <v>0</v>
      </c>
      <c r="J138" s="199">
        <f t="shared" si="59"/>
        <v>0</v>
      </c>
      <c r="K138" s="566">
        <f t="shared" si="58"/>
        <v>6100000</v>
      </c>
    </row>
    <row r="139" spans="1:11" ht="15.75" thickBot="1" x14ac:dyDescent="0.3">
      <c r="A139" s="981"/>
      <c r="B139" s="1004"/>
      <c r="C139" s="177" t="s">
        <v>162</v>
      </c>
      <c r="D139" s="200">
        <f>D137-D138</f>
        <v>5000000</v>
      </c>
      <c r="E139" s="200">
        <f t="shared" ref="E139:J139" si="60">E137-E138</f>
        <v>500000</v>
      </c>
      <c r="F139" s="200">
        <f>F142</f>
        <v>400000</v>
      </c>
      <c r="G139" s="200">
        <f t="shared" si="60"/>
        <v>0</v>
      </c>
      <c r="H139" s="200">
        <f t="shared" si="60"/>
        <v>0</v>
      </c>
      <c r="I139" s="200">
        <f t="shared" si="60"/>
        <v>0</v>
      </c>
      <c r="J139" s="200">
        <f t="shared" si="60"/>
        <v>0</v>
      </c>
      <c r="K139" s="567">
        <f t="shared" si="58"/>
        <v>5900000</v>
      </c>
    </row>
    <row r="140" spans="1:11" ht="26.25" thickBot="1" x14ac:dyDescent="0.3">
      <c r="A140" s="180" t="s">
        <v>66</v>
      </c>
      <c r="B140" s="181"/>
      <c r="C140" s="38" t="s">
        <v>96</v>
      </c>
      <c r="D140" s="212">
        <f>D141+D142+D143</f>
        <v>10000000</v>
      </c>
      <c r="E140" s="212">
        <f t="shared" ref="E140:J140" si="61">E141+E142+E143</f>
        <v>1000000</v>
      </c>
      <c r="F140" s="212">
        <f t="shared" si="61"/>
        <v>1000000</v>
      </c>
      <c r="G140" s="212">
        <f t="shared" si="61"/>
        <v>0</v>
      </c>
      <c r="H140" s="212">
        <f t="shared" si="61"/>
        <v>0</v>
      </c>
      <c r="I140" s="212">
        <f t="shared" si="61"/>
        <v>0</v>
      </c>
      <c r="J140" s="212">
        <f t="shared" si="61"/>
        <v>0</v>
      </c>
      <c r="K140" s="182">
        <f t="shared" si="58"/>
        <v>12000000</v>
      </c>
    </row>
    <row r="141" spans="1:11" ht="84.75" customHeight="1" x14ac:dyDescent="0.25">
      <c r="A141" s="970"/>
      <c r="B141" s="568"/>
      <c r="C141" s="75" t="s">
        <v>209</v>
      </c>
      <c r="D141" s="569">
        <v>5000000</v>
      </c>
      <c r="E141" s="570">
        <v>0</v>
      </c>
      <c r="F141" s="213">
        <v>0</v>
      </c>
      <c r="G141" s="213">
        <v>0</v>
      </c>
      <c r="H141" s="213">
        <v>0</v>
      </c>
      <c r="I141" s="213">
        <v>0</v>
      </c>
      <c r="J141" s="571">
        <v>0</v>
      </c>
      <c r="K141" s="184">
        <f t="shared" si="58"/>
        <v>5000000</v>
      </c>
    </row>
    <row r="142" spans="1:11" ht="76.5" x14ac:dyDescent="0.25">
      <c r="A142" s="971"/>
      <c r="B142" s="557" t="s">
        <v>144</v>
      </c>
      <c r="C142" s="145" t="s">
        <v>35</v>
      </c>
      <c r="D142" s="133">
        <v>0</v>
      </c>
      <c r="E142" s="84">
        <v>500000</v>
      </c>
      <c r="F142" s="197">
        <v>400000</v>
      </c>
      <c r="G142" s="197">
        <v>0</v>
      </c>
      <c r="H142" s="197">
        <v>0</v>
      </c>
      <c r="I142" s="197">
        <v>0</v>
      </c>
      <c r="J142" s="717">
        <v>0</v>
      </c>
      <c r="K142" s="572">
        <f t="shared" si="58"/>
        <v>900000</v>
      </c>
    </row>
    <row r="143" spans="1:11" ht="21" customHeight="1" thickBot="1" x14ac:dyDescent="0.3">
      <c r="A143" s="972"/>
      <c r="B143" s="185"/>
      <c r="C143" s="141" t="s">
        <v>210</v>
      </c>
      <c r="D143" s="144">
        <v>5000000</v>
      </c>
      <c r="E143" s="256">
        <v>500000</v>
      </c>
      <c r="F143" s="210">
        <v>600000</v>
      </c>
      <c r="G143" s="210">
        <v>0</v>
      </c>
      <c r="H143" s="210">
        <v>0</v>
      </c>
      <c r="I143" s="210">
        <v>0</v>
      </c>
      <c r="J143" s="573">
        <v>0</v>
      </c>
      <c r="K143" s="186">
        <f t="shared" si="58"/>
        <v>6100000</v>
      </c>
    </row>
    <row r="144" spans="1:11" ht="54.75" customHeight="1" thickBot="1" x14ac:dyDescent="0.3">
      <c r="A144" s="257" t="s">
        <v>4</v>
      </c>
      <c r="B144" s="41"/>
      <c r="C144" s="258" t="s">
        <v>278</v>
      </c>
      <c r="D144" s="265">
        <f>D145</f>
        <v>7839427400</v>
      </c>
      <c r="E144" s="265">
        <f t="shared" ref="E144:J144" si="62">E145</f>
        <v>8980440100</v>
      </c>
      <c r="F144" s="265">
        <f t="shared" si="62"/>
        <v>8686826900</v>
      </c>
      <c r="G144" s="265">
        <f t="shared" si="62"/>
        <v>9313583900</v>
      </c>
      <c r="H144" s="265">
        <f t="shared" si="62"/>
        <v>10369593900</v>
      </c>
      <c r="I144" s="265">
        <f t="shared" si="62"/>
        <v>10909676400</v>
      </c>
      <c r="J144" s="265">
        <f t="shared" si="62"/>
        <v>10909676400</v>
      </c>
      <c r="K144" s="188">
        <f t="shared" si="58"/>
        <v>67009225000</v>
      </c>
    </row>
    <row r="145" spans="1:11" ht="57" customHeight="1" thickBot="1" x14ac:dyDescent="0.3">
      <c r="A145" s="261" t="s">
        <v>66</v>
      </c>
      <c r="B145" s="189"/>
      <c r="C145" s="260" t="s">
        <v>279</v>
      </c>
      <c r="D145" s="149">
        <f>D146+D147</f>
        <v>7839427400</v>
      </c>
      <c r="E145" s="149">
        <f t="shared" ref="E145:J145" si="63">E146+E147</f>
        <v>8980440100</v>
      </c>
      <c r="F145" s="149">
        <f t="shared" si="63"/>
        <v>8686826900</v>
      </c>
      <c r="G145" s="149">
        <f t="shared" si="63"/>
        <v>9313583900</v>
      </c>
      <c r="H145" s="149">
        <f t="shared" si="63"/>
        <v>10369593900</v>
      </c>
      <c r="I145" s="149">
        <f t="shared" si="63"/>
        <v>10909676400</v>
      </c>
      <c r="J145" s="149">
        <f t="shared" si="63"/>
        <v>10909676400</v>
      </c>
      <c r="K145" s="250">
        <f t="shared" si="58"/>
        <v>67009225000</v>
      </c>
    </row>
    <row r="146" spans="1:11" ht="40.5" customHeight="1" thickBot="1" x14ac:dyDescent="0.3">
      <c r="A146" s="985"/>
      <c r="B146" s="262"/>
      <c r="C146" s="686" t="s">
        <v>316</v>
      </c>
      <c r="D146" s="684">
        <v>7671820400</v>
      </c>
      <c r="E146" s="263">
        <v>8763677800</v>
      </c>
      <c r="F146" s="456">
        <v>8401199900</v>
      </c>
      <c r="G146" s="718">
        <v>9313483900</v>
      </c>
      <c r="H146" s="719">
        <v>10369493900</v>
      </c>
      <c r="I146" s="719">
        <v>10909576400</v>
      </c>
      <c r="J146" s="719">
        <v>10909576400</v>
      </c>
      <c r="K146" s="29">
        <f t="shared" si="58"/>
        <v>66338828700</v>
      </c>
    </row>
    <row r="147" spans="1:11" ht="40.5" customHeight="1" thickBot="1" x14ac:dyDescent="0.3">
      <c r="A147" s="986"/>
      <c r="B147" s="259"/>
      <c r="C147" s="151" t="s">
        <v>317</v>
      </c>
      <c r="D147" s="685">
        <v>167607000</v>
      </c>
      <c r="E147" s="264">
        <v>216762300</v>
      </c>
      <c r="F147" s="457">
        <v>285627000</v>
      </c>
      <c r="G147" s="720">
        <v>100000</v>
      </c>
      <c r="H147" s="721">
        <v>100000</v>
      </c>
      <c r="I147" s="721">
        <v>100000</v>
      </c>
      <c r="J147" s="722">
        <v>100000</v>
      </c>
      <c r="K147" s="34">
        <f t="shared" si="58"/>
        <v>670396300</v>
      </c>
    </row>
    <row r="148" spans="1:11" ht="34.5" customHeight="1" thickBot="1" x14ac:dyDescent="0.3">
      <c r="A148" s="251" t="s">
        <v>65</v>
      </c>
      <c r="B148" s="252"/>
      <c r="C148" s="253" t="s">
        <v>145</v>
      </c>
      <c r="D148" s="254">
        <f t="shared" ref="D148:J148" si="64">D149+D157+D160</f>
        <v>68642100</v>
      </c>
      <c r="E148" s="254">
        <f t="shared" si="64"/>
        <v>68947840.680000007</v>
      </c>
      <c r="F148" s="254">
        <f t="shared" si="64"/>
        <v>67326721.609999999</v>
      </c>
      <c r="G148" s="255">
        <f t="shared" si="64"/>
        <v>62797429.359999992</v>
      </c>
      <c r="H148" s="255">
        <f t="shared" si="64"/>
        <v>62535793.359999992</v>
      </c>
      <c r="I148" s="255">
        <f t="shared" si="64"/>
        <v>63103169.769999996</v>
      </c>
      <c r="J148" s="255">
        <f t="shared" si="64"/>
        <v>63103169.769999996</v>
      </c>
      <c r="K148" s="187">
        <f t="shared" si="58"/>
        <v>456456224.54999995</v>
      </c>
    </row>
    <row r="149" spans="1:11" ht="34.5" customHeight="1" thickBot="1" x14ac:dyDescent="0.3">
      <c r="A149" s="46" t="s">
        <v>4</v>
      </c>
      <c r="B149" s="41"/>
      <c r="C149" s="37" t="s">
        <v>440</v>
      </c>
      <c r="D149" s="111">
        <f t="shared" ref="D149:J149" si="65">D150+D155</f>
        <v>58921600</v>
      </c>
      <c r="E149" s="111">
        <f t="shared" si="65"/>
        <v>59030349.5</v>
      </c>
      <c r="F149" s="111">
        <f t="shared" si="65"/>
        <v>55191880</v>
      </c>
      <c r="G149" s="111">
        <f t="shared" si="65"/>
        <v>52025546.239999995</v>
      </c>
      <c r="H149" s="111">
        <f t="shared" si="65"/>
        <v>52025546.239999995</v>
      </c>
      <c r="I149" s="111">
        <f t="shared" si="65"/>
        <v>52025534.969999999</v>
      </c>
      <c r="J149" s="111">
        <f t="shared" si="65"/>
        <v>52025534.969999999</v>
      </c>
      <c r="K149" s="188">
        <f t="shared" si="58"/>
        <v>381245991.92000008</v>
      </c>
    </row>
    <row r="150" spans="1:11" ht="31.5" customHeight="1" thickBot="1" x14ac:dyDescent="0.3">
      <c r="A150" s="55" t="s">
        <v>66</v>
      </c>
      <c r="B150" s="42"/>
      <c r="C150" s="38" t="s">
        <v>439</v>
      </c>
      <c r="D150" s="112">
        <f t="shared" ref="D150:J150" si="66">D151+D152+D153+D154</f>
        <v>58921600</v>
      </c>
      <c r="E150" s="112">
        <f t="shared" si="66"/>
        <v>59014349.5</v>
      </c>
      <c r="F150" s="112">
        <f t="shared" si="66"/>
        <v>55111880</v>
      </c>
      <c r="G150" s="56">
        <f t="shared" si="66"/>
        <v>52025546.239999995</v>
      </c>
      <c r="H150" s="56">
        <f t="shared" si="66"/>
        <v>52025546.239999995</v>
      </c>
      <c r="I150" s="56">
        <f t="shared" si="66"/>
        <v>52025534.969999999</v>
      </c>
      <c r="J150" s="56">
        <f t="shared" si="66"/>
        <v>52025534.969999999</v>
      </c>
      <c r="K150" s="34">
        <f t="shared" si="58"/>
        <v>381149991.92000008</v>
      </c>
    </row>
    <row r="151" spans="1:11" ht="56.25" customHeight="1" thickBot="1" x14ac:dyDescent="0.3">
      <c r="A151" s="998"/>
      <c r="B151" s="562" t="s">
        <v>159</v>
      </c>
      <c r="C151" s="75" t="s">
        <v>24</v>
      </c>
      <c r="D151" s="106">
        <v>1492600</v>
      </c>
      <c r="E151" s="114">
        <v>139200.01</v>
      </c>
      <c r="F151" s="723">
        <f>142700+196602.5</f>
        <v>339302.5</v>
      </c>
      <c r="G151" s="724">
        <v>339302.5</v>
      </c>
      <c r="H151" s="724">
        <v>339302.5</v>
      </c>
      <c r="I151" s="724">
        <v>339302.5</v>
      </c>
      <c r="J151" s="724">
        <v>339302.5</v>
      </c>
      <c r="K151" s="184">
        <f t="shared" si="58"/>
        <v>3328312.51</v>
      </c>
    </row>
    <row r="152" spans="1:11" ht="51" x14ac:dyDescent="0.25">
      <c r="A152" s="999"/>
      <c r="B152" s="562" t="s">
        <v>501</v>
      </c>
      <c r="C152" s="49" t="s">
        <v>146</v>
      </c>
      <c r="D152" s="563">
        <v>50256200</v>
      </c>
      <c r="E152" s="115">
        <v>51702353.490000002</v>
      </c>
      <c r="F152" s="725">
        <f>43182281.96-1756626+1241846.54</f>
        <v>42667502.5</v>
      </c>
      <c r="G152" s="725">
        <v>40235155.979999997</v>
      </c>
      <c r="H152" s="725">
        <v>40235155.979999997</v>
      </c>
      <c r="I152" s="725">
        <v>40235144.469999999</v>
      </c>
      <c r="J152" s="725">
        <v>40235144.469999999</v>
      </c>
      <c r="K152" s="564">
        <f t="shared" si="58"/>
        <v>305566656.88999999</v>
      </c>
    </row>
    <row r="153" spans="1:11" ht="34.5" customHeight="1" x14ac:dyDescent="0.25">
      <c r="A153" s="999"/>
      <c r="B153" s="557" t="s">
        <v>158</v>
      </c>
      <c r="C153" s="57" t="s">
        <v>25</v>
      </c>
      <c r="D153" s="107">
        <v>7172800</v>
      </c>
      <c r="E153" s="116">
        <v>7172796</v>
      </c>
      <c r="F153" s="726">
        <v>7172796</v>
      </c>
      <c r="G153" s="727">
        <v>8050644</v>
      </c>
      <c r="H153" s="727">
        <v>8050644</v>
      </c>
      <c r="I153" s="727">
        <v>8050644</v>
      </c>
      <c r="J153" s="727">
        <v>8050644</v>
      </c>
      <c r="K153" s="564">
        <f t="shared" si="58"/>
        <v>53720968</v>
      </c>
    </row>
    <row r="154" spans="1:11" ht="34.5" customHeight="1" thickBot="1" x14ac:dyDescent="0.3">
      <c r="A154" s="999"/>
      <c r="B154" s="557" t="s">
        <v>167</v>
      </c>
      <c r="C154" s="57" t="s">
        <v>165</v>
      </c>
      <c r="D154" s="107">
        <v>0</v>
      </c>
      <c r="E154" s="116">
        <v>0</v>
      </c>
      <c r="F154" s="726">
        <v>4932279</v>
      </c>
      <c r="G154" s="726">
        <v>3400443.76</v>
      </c>
      <c r="H154" s="726">
        <v>3400443.76</v>
      </c>
      <c r="I154" s="726">
        <v>3400444</v>
      </c>
      <c r="J154" s="726">
        <v>3400444</v>
      </c>
      <c r="K154" s="186">
        <f t="shared" si="58"/>
        <v>18534054.52</v>
      </c>
    </row>
    <row r="155" spans="1:11" ht="16.5" customHeight="1" thickBot="1" x14ac:dyDescent="0.3">
      <c r="A155" s="38" t="s">
        <v>66</v>
      </c>
      <c r="B155" s="552"/>
      <c r="C155" s="60" t="s">
        <v>425</v>
      </c>
      <c r="D155" s="354">
        <f>D156</f>
        <v>0</v>
      </c>
      <c r="E155" s="355">
        <f t="shared" ref="E155:J155" si="67">E156</f>
        <v>16000</v>
      </c>
      <c r="F155" s="355">
        <f t="shared" si="67"/>
        <v>80000</v>
      </c>
      <c r="G155" s="355">
        <f t="shared" si="67"/>
        <v>0</v>
      </c>
      <c r="H155" s="355">
        <f t="shared" si="67"/>
        <v>0</v>
      </c>
      <c r="I155" s="356">
        <f t="shared" si="67"/>
        <v>0</v>
      </c>
      <c r="J155" s="354">
        <f t="shared" si="67"/>
        <v>0</v>
      </c>
      <c r="K155" s="186">
        <f t="shared" si="58"/>
        <v>96000</v>
      </c>
    </row>
    <row r="156" spans="1:11" ht="75" customHeight="1" thickBot="1" x14ac:dyDescent="0.3">
      <c r="A156" s="559"/>
      <c r="B156" s="560" t="s">
        <v>219</v>
      </c>
      <c r="C156" s="141" t="s">
        <v>220</v>
      </c>
      <c r="D156" s="144">
        <v>0</v>
      </c>
      <c r="E156" s="144">
        <v>16000</v>
      </c>
      <c r="F156" s="561">
        <f>32000+48000</f>
        <v>80000</v>
      </c>
      <c r="G156" s="561">
        <v>0</v>
      </c>
      <c r="H156" s="561">
        <v>0</v>
      </c>
      <c r="I156" s="561">
        <v>0</v>
      </c>
      <c r="J156" s="561">
        <v>0</v>
      </c>
      <c r="K156" s="186">
        <f t="shared" si="58"/>
        <v>96000</v>
      </c>
    </row>
    <row r="157" spans="1:11" ht="28.5" customHeight="1" thickBot="1" x14ac:dyDescent="0.3">
      <c r="A157" s="37" t="s">
        <v>4</v>
      </c>
      <c r="B157" s="550"/>
      <c r="C157" s="37" t="s">
        <v>432</v>
      </c>
      <c r="D157" s="111">
        <f t="shared" ref="D157:F158" si="68">D158</f>
        <v>9263400</v>
      </c>
      <c r="E157" s="111">
        <f t="shared" si="68"/>
        <v>9263401.1799999997</v>
      </c>
      <c r="F157" s="111">
        <f t="shared" si="68"/>
        <v>8390920.6099999994</v>
      </c>
      <c r="G157" s="45">
        <f t="shared" ref="G157:J158" si="69">G158</f>
        <v>6722720.1200000001</v>
      </c>
      <c r="H157" s="45">
        <f t="shared" si="69"/>
        <v>6722720.1200000001</v>
      </c>
      <c r="I157" s="45">
        <f t="shared" si="69"/>
        <v>6723229.7999999998</v>
      </c>
      <c r="J157" s="45">
        <f t="shared" si="69"/>
        <v>6723229.7999999998</v>
      </c>
      <c r="K157" s="551">
        <f t="shared" si="58"/>
        <v>53809621.629999988</v>
      </c>
    </row>
    <row r="158" spans="1:11" ht="15.75" thickBot="1" x14ac:dyDescent="0.3">
      <c r="A158" s="59" t="s">
        <v>66</v>
      </c>
      <c r="B158" s="552"/>
      <c r="C158" s="59" t="s">
        <v>148</v>
      </c>
      <c r="D158" s="214">
        <f t="shared" si="68"/>
        <v>9263400</v>
      </c>
      <c r="E158" s="214">
        <f t="shared" si="68"/>
        <v>9263401.1799999997</v>
      </c>
      <c r="F158" s="214">
        <f t="shared" si="68"/>
        <v>8390920.6099999994</v>
      </c>
      <c r="G158" s="202">
        <f t="shared" si="69"/>
        <v>6722720.1200000001</v>
      </c>
      <c r="H158" s="202">
        <f t="shared" si="69"/>
        <v>6722720.1200000001</v>
      </c>
      <c r="I158" s="202">
        <f t="shared" si="69"/>
        <v>6723229.7999999998</v>
      </c>
      <c r="J158" s="202">
        <f t="shared" si="69"/>
        <v>6723229.7999999998</v>
      </c>
      <c r="K158" s="186">
        <f t="shared" si="58"/>
        <v>53809621.629999988</v>
      </c>
    </row>
    <row r="159" spans="1:11" ht="64.5" thickBot="1" x14ac:dyDescent="0.3">
      <c r="A159" s="58"/>
      <c r="B159" s="183" t="s">
        <v>157</v>
      </c>
      <c r="C159" s="58" t="s">
        <v>147</v>
      </c>
      <c r="D159" s="558">
        <v>9263400</v>
      </c>
      <c r="E159" s="117">
        <v>9263401.1799999997</v>
      </c>
      <c r="F159" s="728">
        <v>8390920.6099999994</v>
      </c>
      <c r="G159" s="729">
        <v>6722720.1200000001</v>
      </c>
      <c r="H159" s="729">
        <v>6722720.1200000001</v>
      </c>
      <c r="I159" s="729">
        <v>6723229.7999999998</v>
      </c>
      <c r="J159" s="729">
        <v>6723229.7999999998</v>
      </c>
      <c r="K159" s="186">
        <f t="shared" si="58"/>
        <v>53809621.629999988</v>
      </c>
    </row>
    <row r="160" spans="1:11" ht="15.75" thickBot="1" x14ac:dyDescent="0.3">
      <c r="A160" s="37" t="s">
        <v>4</v>
      </c>
      <c r="B160" s="550"/>
      <c r="C160" s="37" t="s">
        <v>433</v>
      </c>
      <c r="D160" s="111">
        <f t="shared" ref="D160:J160" si="70">D161</f>
        <v>457100</v>
      </c>
      <c r="E160" s="111">
        <f t="shared" si="70"/>
        <v>654090</v>
      </c>
      <c r="F160" s="111">
        <f t="shared" si="70"/>
        <v>3743921</v>
      </c>
      <c r="G160" s="45">
        <f t="shared" si="70"/>
        <v>4049163</v>
      </c>
      <c r="H160" s="45">
        <f t="shared" si="70"/>
        <v>3787527</v>
      </c>
      <c r="I160" s="45">
        <f t="shared" si="70"/>
        <v>4354405</v>
      </c>
      <c r="J160" s="45">
        <f t="shared" si="70"/>
        <v>4354405</v>
      </c>
      <c r="K160" s="551">
        <f t="shared" si="58"/>
        <v>21400611</v>
      </c>
    </row>
    <row r="161" spans="1:11" ht="26.25" thickBot="1" x14ac:dyDescent="0.3">
      <c r="A161" s="60" t="s">
        <v>66</v>
      </c>
      <c r="B161" s="552"/>
      <c r="C161" s="60" t="s">
        <v>149</v>
      </c>
      <c r="D161" s="215">
        <f t="shared" ref="D161:J161" si="71">D162+D163+D164</f>
        <v>457100</v>
      </c>
      <c r="E161" s="215">
        <f t="shared" si="71"/>
        <v>654090</v>
      </c>
      <c r="F161" s="215">
        <f t="shared" si="71"/>
        <v>3743921</v>
      </c>
      <c r="G161" s="555">
        <f t="shared" si="71"/>
        <v>4049163</v>
      </c>
      <c r="H161" s="555">
        <f t="shared" si="71"/>
        <v>3787527</v>
      </c>
      <c r="I161" s="555">
        <f t="shared" si="71"/>
        <v>4354405</v>
      </c>
      <c r="J161" s="555">
        <f t="shared" si="71"/>
        <v>4354405</v>
      </c>
      <c r="K161" s="186">
        <f t="shared" si="58"/>
        <v>21400611</v>
      </c>
    </row>
    <row r="162" spans="1:11" ht="77.25" thickBot="1" x14ac:dyDescent="0.3">
      <c r="A162" s="976"/>
      <c r="B162" s="556" t="s">
        <v>156</v>
      </c>
      <c r="C162" s="459" t="s">
        <v>29</v>
      </c>
      <c r="D162" s="106">
        <v>5500</v>
      </c>
      <c r="E162" s="114">
        <v>7500</v>
      </c>
      <c r="F162" s="723">
        <f>7500-3500</f>
        <v>4000</v>
      </c>
      <c r="G162" s="724">
        <v>7500</v>
      </c>
      <c r="H162" s="724">
        <v>4500</v>
      </c>
      <c r="I162" s="724">
        <v>11000</v>
      </c>
      <c r="J162" s="724">
        <v>11000</v>
      </c>
      <c r="K162" s="186">
        <f t="shared" si="58"/>
        <v>51000</v>
      </c>
    </row>
    <row r="163" spans="1:11" ht="90" thickBot="1" x14ac:dyDescent="0.3">
      <c r="A163" s="977"/>
      <c r="B163" s="557" t="s">
        <v>155</v>
      </c>
      <c r="C163" s="57" t="s">
        <v>30</v>
      </c>
      <c r="D163" s="107">
        <v>451600</v>
      </c>
      <c r="E163" s="116">
        <v>646590</v>
      </c>
      <c r="F163" s="726">
        <f>646590-301742</f>
        <v>344848</v>
      </c>
      <c r="G163" s="727">
        <v>646590</v>
      </c>
      <c r="H163" s="727">
        <v>387954</v>
      </c>
      <c r="I163" s="727">
        <v>948332</v>
      </c>
      <c r="J163" s="727">
        <v>948332</v>
      </c>
      <c r="K163" s="186">
        <f t="shared" si="58"/>
        <v>4374246</v>
      </c>
    </row>
    <row r="164" spans="1:11" ht="90" thickBot="1" x14ac:dyDescent="0.3">
      <c r="A164" s="978"/>
      <c r="B164" s="557" t="s">
        <v>168</v>
      </c>
      <c r="C164" s="57" t="s">
        <v>166</v>
      </c>
      <c r="D164" s="107">
        <v>0</v>
      </c>
      <c r="E164" s="116">
        <v>0</v>
      </c>
      <c r="F164" s="726">
        <v>3395073</v>
      </c>
      <c r="G164" s="726">
        <v>3395073</v>
      </c>
      <c r="H164" s="726">
        <v>3395073</v>
      </c>
      <c r="I164" s="726">
        <v>3395073</v>
      </c>
      <c r="J164" s="726">
        <v>3395073</v>
      </c>
      <c r="K164" s="186">
        <f t="shared" si="58"/>
        <v>16975365</v>
      </c>
    </row>
    <row r="165" spans="1:11" ht="26.25" thickBot="1" x14ac:dyDescent="0.3">
      <c r="A165" s="53" t="s">
        <v>65</v>
      </c>
      <c r="B165" s="548"/>
      <c r="C165" s="53" t="s">
        <v>2</v>
      </c>
      <c r="D165" s="110">
        <f t="shared" ref="D165:J165" si="72">D166+D169</f>
        <v>32892200</v>
      </c>
      <c r="E165" s="110">
        <f t="shared" si="72"/>
        <v>32245329.760000002</v>
      </c>
      <c r="F165" s="110">
        <f t="shared" si="72"/>
        <v>30100000</v>
      </c>
      <c r="G165" s="54">
        <f t="shared" si="72"/>
        <v>28600000</v>
      </c>
      <c r="H165" s="54">
        <f t="shared" si="72"/>
        <v>28600000</v>
      </c>
      <c r="I165" s="54">
        <f t="shared" si="72"/>
        <v>28600000</v>
      </c>
      <c r="J165" s="54">
        <f t="shared" si="72"/>
        <v>28600000</v>
      </c>
      <c r="K165" s="549">
        <f t="shared" si="58"/>
        <v>209637529.75999999</v>
      </c>
    </row>
    <row r="166" spans="1:11" ht="15.75" thickBot="1" x14ac:dyDescent="0.3">
      <c r="A166" s="37" t="s">
        <v>4</v>
      </c>
      <c r="B166" s="550"/>
      <c r="C166" s="37" t="s">
        <v>415</v>
      </c>
      <c r="D166" s="111">
        <f t="shared" ref="D166:F167" si="73">D167</f>
        <v>31742200</v>
      </c>
      <c r="E166" s="111">
        <f t="shared" si="73"/>
        <v>32245329.760000002</v>
      </c>
      <c r="F166" s="111">
        <f t="shared" si="73"/>
        <v>28600000</v>
      </c>
      <c r="G166" s="45">
        <f t="shared" ref="G166:J167" si="74">G167</f>
        <v>28600000</v>
      </c>
      <c r="H166" s="45">
        <f t="shared" si="74"/>
        <v>28600000</v>
      </c>
      <c r="I166" s="45">
        <f t="shared" si="74"/>
        <v>28600000</v>
      </c>
      <c r="J166" s="45">
        <f t="shared" si="74"/>
        <v>28600000</v>
      </c>
      <c r="K166" s="551">
        <f t="shared" si="58"/>
        <v>206987529.75999999</v>
      </c>
    </row>
    <row r="167" spans="1:11" ht="31.5" customHeight="1" thickBot="1" x14ac:dyDescent="0.3">
      <c r="A167" s="38" t="s">
        <v>66</v>
      </c>
      <c r="B167" s="181"/>
      <c r="C167" s="38" t="s">
        <v>434</v>
      </c>
      <c r="D167" s="112">
        <f t="shared" si="73"/>
        <v>31742200</v>
      </c>
      <c r="E167" s="112">
        <f t="shared" si="73"/>
        <v>32245329.760000002</v>
      </c>
      <c r="F167" s="112">
        <f t="shared" si="73"/>
        <v>28600000</v>
      </c>
      <c r="G167" s="56">
        <f t="shared" si="74"/>
        <v>28600000</v>
      </c>
      <c r="H167" s="56">
        <f t="shared" si="74"/>
        <v>28600000</v>
      </c>
      <c r="I167" s="56">
        <f t="shared" si="74"/>
        <v>28600000</v>
      </c>
      <c r="J167" s="56">
        <f t="shared" si="74"/>
        <v>28600000</v>
      </c>
      <c r="K167" s="186">
        <f t="shared" si="58"/>
        <v>206987529.75999999</v>
      </c>
    </row>
    <row r="168" spans="1:11" ht="26.25" thickBot="1" x14ac:dyDescent="0.3">
      <c r="A168" s="61"/>
      <c r="B168" s="183" t="s">
        <v>154</v>
      </c>
      <c r="C168" s="61" t="s">
        <v>31</v>
      </c>
      <c r="D168" s="108">
        <v>31742200</v>
      </c>
      <c r="E168" s="118">
        <v>32245329.760000002</v>
      </c>
      <c r="F168" s="730">
        <v>28600000</v>
      </c>
      <c r="G168" s="731">
        <v>28600000</v>
      </c>
      <c r="H168" s="731">
        <v>28600000</v>
      </c>
      <c r="I168" s="731">
        <v>28600000</v>
      </c>
      <c r="J168" s="731">
        <v>28600000</v>
      </c>
      <c r="K168" s="186">
        <f t="shared" si="58"/>
        <v>206987529.75999999</v>
      </c>
    </row>
    <row r="169" spans="1:11" ht="31.5" customHeight="1" thickBot="1" x14ac:dyDescent="0.3">
      <c r="A169" s="504" t="s">
        <v>4</v>
      </c>
      <c r="B169" s="505"/>
      <c r="C169" s="504" t="s">
        <v>418</v>
      </c>
      <c r="D169" s="506">
        <f t="shared" ref="D169:J169" si="75">D170</f>
        <v>1150000</v>
      </c>
      <c r="E169" s="506">
        <f t="shared" si="75"/>
        <v>0</v>
      </c>
      <c r="F169" s="111">
        <f t="shared" si="75"/>
        <v>1500000</v>
      </c>
      <c r="G169" s="45">
        <f t="shared" si="75"/>
        <v>0</v>
      </c>
      <c r="H169" s="45">
        <f t="shared" si="75"/>
        <v>0</v>
      </c>
      <c r="I169" s="45">
        <f t="shared" si="75"/>
        <v>0</v>
      </c>
      <c r="J169" s="45">
        <f t="shared" si="75"/>
        <v>0</v>
      </c>
      <c r="K169" s="507">
        <f t="shared" si="58"/>
        <v>2650000</v>
      </c>
    </row>
    <row r="170" spans="1:11" ht="15.75" thickBot="1" x14ac:dyDescent="0.3">
      <c r="A170" s="508" t="s">
        <v>66</v>
      </c>
      <c r="B170" s="509"/>
      <c r="C170" s="508" t="s">
        <v>435</v>
      </c>
      <c r="D170" s="510">
        <f t="shared" ref="D170:J170" si="76">D171+D172</f>
        <v>1150000</v>
      </c>
      <c r="E170" s="510">
        <f t="shared" si="76"/>
        <v>0</v>
      </c>
      <c r="F170" s="112">
        <f t="shared" si="76"/>
        <v>1500000</v>
      </c>
      <c r="G170" s="56">
        <f t="shared" si="76"/>
        <v>0</v>
      </c>
      <c r="H170" s="56">
        <f t="shared" si="76"/>
        <v>0</v>
      </c>
      <c r="I170" s="56">
        <f t="shared" si="76"/>
        <v>0</v>
      </c>
      <c r="J170" s="56">
        <f t="shared" si="76"/>
        <v>0</v>
      </c>
      <c r="K170" s="511">
        <f t="shared" si="58"/>
        <v>2650000</v>
      </c>
    </row>
    <row r="171" spans="1:11" ht="51" x14ac:dyDescent="0.25">
      <c r="A171" s="993"/>
      <c r="B171" s="544" t="s">
        <v>152</v>
      </c>
      <c r="C171" s="545" t="s">
        <v>26</v>
      </c>
      <c r="D171" s="546">
        <v>1150000</v>
      </c>
      <c r="E171" s="547">
        <v>0</v>
      </c>
      <c r="F171" s="732">
        <v>0</v>
      </c>
      <c r="G171" s="733">
        <v>0</v>
      </c>
      <c r="H171" s="733">
        <v>0</v>
      </c>
      <c r="I171" s="733">
        <v>0</v>
      </c>
      <c r="J171" s="471">
        <v>0</v>
      </c>
      <c r="K171" s="513">
        <f t="shared" si="58"/>
        <v>1150000</v>
      </c>
    </row>
    <row r="172" spans="1:11" ht="51.75" thickBot="1" x14ac:dyDescent="0.3">
      <c r="A172" s="994"/>
      <c r="B172" s="514" t="s">
        <v>153</v>
      </c>
      <c r="C172" s="528" t="s">
        <v>32</v>
      </c>
      <c r="D172" s="529">
        <v>0</v>
      </c>
      <c r="E172" s="530">
        <v>0</v>
      </c>
      <c r="F172" s="734">
        <v>1500000</v>
      </c>
      <c r="G172" s="735">
        <v>0</v>
      </c>
      <c r="H172" s="735">
        <v>0</v>
      </c>
      <c r="I172" s="735">
        <v>0</v>
      </c>
      <c r="J172" s="736">
        <v>0</v>
      </c>
      <c r="K172" s="511">
        <f t="shared" si="58"/>
        <v>1500000</v>
      </c>
    </row>
    <row r="173" spans="1:11" ht="26.25" thickBot="1" x14ac:dyDescent="0.3">
      <c r="A173" s="53" t="s">
        <v>65</v>
      </c>
      <c r="B173" s="548"/>
      <c r="C173" s="53" t="s">
        <v>8</v>
      </c>
      <c r="D173" s="110">
        <f t="shared" ref="D173:E175" si="77">D174</f>
        <v>564700</v>
      </c>
      <c r="E173" s="110">
        <f t="shared" si="77"/>
        <v>503965</v>
      </c>
      <c r="F173" s="110">
        <f>F174</f>
        <v>503965</v>
      </c>
      <c r="G173" s="54">
        <f t="shared" ref="G173:J175" si="78">G174</f>
        <v>503965</v>
      </c>
      <c r="H173" s="54">
        <f t="shared" si="78"/>
        <v>503965</v>
      </c>
      <c r="I173" s="54">
        <f t="shared" si="78"/>
        <v>503965</v>
      </c>
      <c r="J173" s="54">
        <f t="shared" si="78"/>
        <v>503965</v>
      </c>
      <c r="K173" s="549">
        <f t="shared" si="58"/>
        <v>3588490</v>
      </c>
    </row>
    <row r="174" spans="1:11" ht="15.75" thickBot="1" x14ac:dyDescent="0.3">
      <c r="A174" s="37" t="s">
        <v>4</v>
      </c>
      <c r="B174" s="550"/>
      <c r="C174" s="37" t="s">
        <v>436</v>
      </c>
      <c r="D174" s="111">
        <f t="shared" si="77"/>
        <v>564700</v>
      </c>
      <c r="E174" s="111">
        <f t="shared" si="77"/>
        <v>503965</v>
      </c>
      <c r="F174" s="111">
        <f>F175</f>
        <v>503965</v>
      </c>
      <c r="G174" s="45">
        <f t="shared" si="78"/>
        <v>503965</v>
      </c>
      <c r="H174" s="45">
        <f t="shared" si="78"/>
        <v>503965</v>
      </c>
      <c r="I174" s="45">
        <f t="shared" si="78"/>
        <v>503965</v>
      </c>
      <c r="J174" s="45">
        <f t="shared" si="78"/>
        <v>503965</v>
      </c>
      <c r="K174" s="551">
        <f t="shared" si="58"/>
        <v>3588490</v>
      </c>
    </row>
    <row r="175" spans="1:11" ht="39" thickBot="1" x14ac:dyDescent="0.3">
      <c r="A175" s="38" t="s">
        <v>66</v>
      </c>
      <c r="B175" s="552"/>
      <c r="C175" s="38" t="s">
        <v>437</v>
      </c>
      <c r="D175" s="112">
        <f t="shared" si="77"/>
        <v>564700</v>
      </c>
      <c r="E175" s="112">
        <f t="shared" si="77"/>
        <v>503965</v>
      </c>
      <c r="F175" s="112">
        <f>F176</f>
        <v>503965</v>
      </c>
      <c r="G175" s="56">
        <f t="shared" si="78"/>
        <v>503965</v>
      </c>
      <c r="H175" s="56">
        <f t="shared" si="78"/>
        <v>503965</v>
      </c>
      <c r="I175" s="56">
        <f t="shared" si="78"/>
        <v>503965</v>
      </c>
      <c r="J175" s="56">
        <f t="shared" si="78"/>
        <v>503965</v>
      </c>
      <c r="K175" s="186">
        <f t="shared" si="58"/>
        <v>3588490</v>
      </c>
    </row>
    <row r="176" spans="1:11" ht="39" thickBot="1" x14ac:dyDescent="0.3">
      <c r="A176" s="50"/>
      <c r="B176" s="552" t="s">
        <v>150</v>
      </c>
      <c r="C176" s="50" t="s">
        <v>23</v>
      </c>
      <c r="D176" s="109">
        <v>564700</v>
      </c>
      <c r="E176" s="119">
        <v>503965</v>
      </c>
      <c r="F176" s="113">
        <v>503965</v>
      </c>
      <c r="G176" s="737">
        <v>503965</v>
      </c>
      <c r="H176" s="737">
        <v>503965</v>
      </c>
      <c r="I176" s="737">
        <v>503965</v>
      </c>
      <c r="J176" s="738">
        <v>503965</v>
      </c>
      <c r="K176" s="186">
        <f t="shared" si="58"/>
        <v>3588490</v>
      </c>
    </row>
    <row r="177" spans="1:11" ht="26.25" thickBot="1" x14ac:dyDescent="0.3">
      <c r="A177" s="53" t="s">
        <v>65</v>
      </c>
      <c r="B177" s="548"/>
      <c r="C177" s="53" t="s">
        <v>3</v>
      </c>
      <c r="D177" s="110">
        <f t="shared" ref="D177:F178" si="79">D178</f>
        <v>45356400</v>
      </c>
      <c r="E177" s="110">
        <f t="shared" si="79"/>
        <v>38825812.460000001</v>
      </c>
      <c r="F177" s="110">
        <f t="shared" si="79"/>
        <v>37377585.719999999</v>
      </c>
      <c r="G177" s="54">
        <f t="shared" ref="G177:J178" si="80">G178</f>
        <v>34939085.729999997</v>
      </c>
      <c r="H177" s="54">
        <f t="shared" si="80"/>
        <v>34939085.729999997</v>
      </c>
      <c r="I177" s="54">
        <f t="shared" si="80"/>
        <v>34939085.729999997</v>
      </c>
      <c r="J177" s="54">
        <f t="shared" si="80"/>
        <v>34939085.729999997</v>
      </c>
      <c r="K177" s="549">
        <f t="shared" si="58"/>
        <v>261316141.09999996</v>
      </c>
    </row>
    <row r="178" spans="1:11" ht="31.5" customHeight="1" thickBot="1" x14ac:dyDescent="0.3">
      <c r="A178" s="37" t="s">
        <v>4</v>
      </c>
      <c r="B178" s="550"/>
      <c r="C178" s="37" t="s">
        <v>438</v>
      </c>
      <c r="D178" s="111">
        <f t="shared" si="79"/>
        <v>45356400</v>
      </c>
      <c r="E178" s="111">
        <f t="shared" si="79"/>
        <v>38825812.460000001</v>
      </c>
      <c r="F178" s="111">
        <f t="shared" si="79"/>
        <v>37377585.719999999</v>
      </c>
      <c r="G178" s="45">
        <f t="shared" si="80"/>
        <v>34939085.729999997</v>
      </c>
      <c r="H178" s="45">
        <f t="shared" si="80"/>
        <v>34939085.729999997</v>
      </c>
      <c r="I178" s="45">
        <f t="shared" si="80"/>
        <v>34939085.729999997</v>
      </c>
      <c r="J178" s="45">
        <f t="shared" si="80"/>
        <v>34939085.729999997</v>
      </c>
      <c r="K178" s="551">
        <f t="shared" si="58"/>
        <v>261316141.09999996</v>
      </c>
    </row>
    <row r="179" spans="1:11" ht="34.5" customHeight="1" thickBot="1" x14ac:dyDescent="0.3">
      <c r="A179" s="38" t="s">
        <v>66</v>
      </c>
      <c r="B179" s="181"/>
      <c r="C179" s="38" t="s">
        <v>423</v>
      </c>
      <c r="D179" s="112">
        <f t="shared" ref="D179:J179" si="81">D180+D181</f>
        <v>45356400</v>
      </c>
      <c r="E179" s="112">
        <f t="shared" si="81"/>
        <v>38825812.460000001</v>
      </c>
      <c r="F179" s="112">
        <f t="shared" si="81"/>
        <v>37377585.719999999</v>
      </c>
      <c r="G179" s="112">
        <f t="shared" si="81"/>
        <v>34939085.729999997</v>
      </c>
      <c r="H179" s="112">
        <f t="shared" si="81"/>
        <v>34939085.729999997</v>
      </c>
      <c r="I179" s="112">
        <f t="shared" si="81"/>
        <v>34939085.729999997</v>
      </c>
      <c r="J179" s="112">
        <f t="shared" si="81"/>
        <v>34939085.729999997</v>
      </c>
      <c r="K179" s="186">
        <f t="shared" si="58"/>
        <v>261316141.09999996</v>
      </c>
    </row>
    <row r="180" spans="1:11" ht="38.25" x14ac:dyDescent="0.25">
      <c r="A180" s="966"/>
      <c r="B180" s="553" t="s">
        <v>151</v>
      </c>
      <c r="C180" s="150" t="s">
        <v>28</v>
      </c>
      <c r="D180" s="148">
        <v>45327400</v>
      </c>
      <c r="E180" s="149">
        <v>38825812.460000001</v>
      </c>
      <c r="F180" s="739">
        <f>40038293.78-2660708.06</f>
        <v>37377585.719999999</v>
      </c>
      <c r="G180" s="740">
        <f>23459957.97+233400+7084907.31+776000.04+884439.98+272800.02+1422846.07+52700+323234.46+388999.88+34800+5000</f>
        <v>34939085.729999997</v>
      </c>
      <c r="H180" s="740">
        <f>23459957.97+233400+7084907.31+776000.04+884439.98+272800.02+1422846.07+52700+323234.46+388999.88+34800+5000</f>
        <v>34939085.729999997</v>
      </c>
      <c r="I180" s="740">
        <f>23459957.97+233400+7084907.31+776000.04+884439.98+272800.02+1422846.07+52700+323234.46+388999.88+34800+5000</f>
        <v>34939085.729999997</v>
      </c>
      <c r="J180" s="740">
        <f>23459957.97+233400+7084907.31+776000.04+884439.98+272800.02+1422846.07+52700+323234.46+388999.88+34800+5000</f>
        <v>34939085.729999997</v>
      </c>
      <c r="K180" s="184">
        <f t="shared" si="58"/>
        <v>261287141.09999996</v>
      </c>
    </row>
    <row r="181" spans="1:11" ht="77.25" thickBot="1" x14ac:dyDescent="0.3">
      <c r="A181" s="967"/>
      <c r="B181" s="185"/>
      <c r="C181" s="151" t="s">
        <v>215</v>
      </c>
      <c r="D181" s="152">
        <v>29000</v>
      </c>
      <c r="E181" s="153">
        <v>0</v>
      </c>
      <c r="F181" s="154">
        <v>0</v>
      </c>
      <c r="G181" s="154">
        <v>0</v>
      </c>
      <c r="H181" s="154">
        <v>0</v>
      </c>
      <c r="I181" s="154">
        <v>0</v>
      </c>
      <c r="J181" s="554">
        <v>0</v>
      </c>
      <c r="K181" s="186">
        <f t="shared" si="58"/>
        <v>29000</v>
      </c>
    </row>
    <row r="182" spans="1:11" ht="26.25" thickBot="1" x14ac:dyDescent="0.3">
      <c r="A182" s="51" t="s">
        <v>65</v>
      </c>
      <c r="B182" s="52"/>
      <c r="C182" s="53" t="s">
        <v>216</v>
      </c>
      <c r="D182" s="110">
        <f t="shared" ref="D182:F184" si="82">D183</f>
        <v>350000</v>
      </c>
      <c r="E182" s="110">
        <f t="shared" si="82"/>
        <v>0</v>
      </c>
      <c r="F182" s="110">
        <f t="shared" si="82"/>
        <v>0</v>
      </c>
      <c r="G182" s="54">
        <f t="shared" ref="G182:J184" si="83">G183</f>
        <v>0</v>
      </c>
      <c r="H182" s="54">
        <f t="shared" si="83"/>
        <v>0</v>
      </c>
      <c r="I182" s="54">
        <f t="shared" si="83"/>
        <v>0</v>
      </c>
      <c r="J182" s="54">
        <f t="shared" si="83"/>
        <v>0</v>
      </c>
      <c r="K182" s="187">
        <f t="shared" si="58"/>
        <v>350000</v>
      </c>
    </row>
    <row r="183" spans="1:11" ht="15.75" thickBot="1" x14ac:dyDescent="0.3">
      <c r="A183" s="46" t="s">
        <v>4</v>
      </c>
      <c r="B183" s="41"/>
      <c r="C183" s="37"/>
      <c r="D183" s="111">
        <f t="shared" si="82"/>
        <v>350000</v>
      </c>
      <c r="E183" s="111">
        <f t="shared" si="82"/>
        <v>0</v>
      </c>
      <c r="F183" s="111">
        <f t="shared" si="82"/>
        <v>0</v>
      </c>
      <c r="G183" s="45">
        <f t="shared" si="83"/>
        <v>0</v>
      </c>
      <c r="H183" s="45">
        <f t="shared" si="83"/>
        <v>0</v>
      </c>
      <c r="I183" s="45">
        <f t="shared" si="83"/>
        <v>0</v>
      </c>
      <c r="J183" s="45">
        <f t="shared" si="83"/>
        <v>0</v>
      </c>
      <c r="K183" s="188">
        <f t="shared" si="58"/>
        <v>350000</v>
      </c>
    </row>
    <row r="184" spans="1:11" ht="15.75" thickBot="1" x14ac:dyDescent="0.3">
      <c r="A184" s="55" t="s">
        <v>66</v>
      </c>
      <c r="B184" s="48"/>
      <c r="C184" s="38"/>
      <c r="D184" s="112">
        <f t="shared" si="82"/>
        <v>350000</v>
      </c>
      <c r="E184" s="112">
        <f t="shared" si="82"/>
        <v>0</v>
      </c>
      <c r="F184" s="112">
        <f t="shared" si="82"/>
        <v>0</v>
      </c>
      <c r="G184" s="56">
        <f t="shared" si="83"/>
        <v>0</v>
      </c>
      <c r="H184" s="56">
        <f t="shared" si="83"/>
        <v>0</v>
      </c>
      <c r="I184" s="56">
        <f t="shared" si="83"/>
        <v>0</v>
      </c>
      <c r="J184" s="56">
        <f t="shared" si="83"/>
        <v>0</v>
      </c>
      <c r="K184" s="34">
        <f t="shared" si="58"/>
        <v>350000</v>
      </c>
    </row>
    <row r="185" spans="1:11" ht="26.25" thickBot="1" x14ac:dyDescent="0.3">
      <c r="A185" s="47"/>
      <c r="B185" s="48" t="s">
        <v>150</v>
      </c>
      <c r="C185" s="50" t="s">
        <v>217</v>
      </c>
      <c r="D185" s="109">
        <v>350000</v>
      </c>
      <c r="E185" s="119">
        <v>0</v>
      </c>
      <c r="F185" s="113">
        <v>0</v>
      </c>
      <c r="G185" s="737">
        <v>0</v>
      </c>
      <c r="H185" s="737">
        <v>0</v>
      </c>
      <c r="I185" s="737">
        <v>0</v>
      </c>
      <c r="J185" s="738">
        <v>0</v>
      </c>
      <c r="K185" s="34">
        <f t="shared" si="58"/>
        <v>350000</v>
      </c>
    </row>
    <row r="187" spans="1:11" s="1" customFormat="1" x14ac:dyDescent="0.25">
      <c r="A187" s="62"/>
      <c r="B187" s="63"/>
      <c r="C187" s="63" t="s">
        <v>22</v>
      </c>
      <c r="D187" s="6">
        <f>D188+D192+D193+D194</f>
        <v>20047400</v>
      </c>
      <c r="E187" s="6">
        <f t="shared" ref="E187:J187" si="84">E188+E192+E193+E194</f>
        <v>17120699.300000001</v>
      </c>
      <c r="F187" s="216">
        <f>F188+F192+F193+F194+F195+F196</f>
        <v>40258907.829999998</v>
      </c>
      <c r="G187" s="216">
        <f t="shared" si="84"/>
        <v>0</v>
      </c>
      <c r="H187" s="216">
        <f t="shared" si="84"/>
        <v>0</v>
      </c>
      <c r="I187" s="216">
        <f t="shared" si="84"/>
        <v>0</v>
      </c>
      <c r="J187" s="216">
        <f t="shared" si="84"/>
        <v>0</v>
      </c>
      <c r="K187" s="6"/>
    </row>
    <row r="188" spans="1:11" s="1" customFormat="1" x14ac:dyDescent="0.25">
      <c r="A188" s="62"/>
      <c r="B188" s="63"/>
      <c r="C188" s="63" t="s">
        <v>9</v>
      </c>
      <c r="D188" s="6">
        <f t="shared" ref="D188:J188" si="85">D189+D190+D191</f>
        <v>12650000</v>
      </c>
      <c r="E188" s="6">
        <f t="shared" si="85"/>
        <v>8901000</v>
      </c>
      <c r="F188" s="216">
        <f t="shared" si="85"/>
        <v>16300000</v>
      </c>
      <c r="G188" s="216">
        <f t="shared" si="85"/>
        <v>0</v>
      </c>
      <c r="H188" s="216">
        <f t="shared" si="85"/>
        <v>0</v>
      </c>
      <c r="I188" s="216">
        <f t="shared" si="85"/>
        <v>0</v>
      </c>
      <c r="J188" s="216">
        <f t="shared" si="85"/>
        <v>0</v>
      </c>
      <c r="K188" s="6"/>
    </row>
    <row r="189" spans="1:11" x14ac:dyDescent="0.25">
      <c r="A189" s="64"/>
      <c r="B189" s="65"/>
      <c r="C189" s="460" t="s">
        <v>16</v>
      </c>
      <c r="D189" s="124">
        <v>3000000</v>
      </c>
      <c r="E189" s="80">
        <f>2900000+1200000-370000</f>
        <v>3730000</v>
      </c>
      <c r="F189" s="217">
        <f>1000000+400000+1000000+400000</f>
        <v>2800000</v>
      </c>
      <c r="G189" s="217">
        <v>0</v>
      </c>
    </row>
    <row r="190" spans="1:11" x14ac:dyDescent="0.25">
      <c r="A190" s="64"/>
      <c r="B190" s="65"/>
      <c r="C190" s="460" t="s">
        <v>17</v>
      </c>
      <c r="D190" s="124">
        <v>7900000</v>
      </c>
      <c r="E190" s="80">
        <f>7125000-1200000-754000</f>
        <v>5171000</v>
      </c>
      <c r="F190" s="217">
        <f>480000+1400000+2900000+900000+800000+800000+510000+1600000+200000+190000</f>
        <v>9780000</v>
      </c>
      <c r="G190" s="217">
        <v>0</v>
      </c>
    </row>
    <row r="191" spans="1:11" x14ac:dyDescent="0.25">
      <c r="A191" s="64"/>
      <c r="B191" s="65"/>
      <c r="C191" s="460" t="s">
        <v>18</v>
      </c>
      <c r="D191" s="124">
        <v>1750000</v>
      </c>
      <c r="E191" s="125">
        <v>0</v>
      </c>
      <c r="F191" s="217">
        <f>1500000+1020000+1000000+200000</f>
        <v>3720000</v>
      </c>
      <c r="G191" s="217">
        <v>0</v>
      </c>
    </row>
    <row r="192" spans="1:11" s="1" customFormat="1" x14ac:dyDescent="0.25">
      <c r="A192" s="66"/>
      <c r="B192" s="63"/>
      <c r="C192" s="461" t="s">
        <v>21</v>
      </c>
      <c r="D192" s="126">
        <f>13200+1374000+7800+18600+924800</f>
        <v>2338400</v>
      </c>
      <c r="E192" s="126">
        <v>34362.300000000003</v>
      </c>
      <c r="F192" s="216"/>
      <c r="G192" s="216"/>
      <c r="H192" s="216"/>
      <c r="I192" s="216"/>
      <c r="J192" s="216"/>
      <c r="K192" s="6"/>
    </row>
    <row r="193" spans="1:11" s="1" customFormat="1" x14ac:dyDescent="0.25">
      <c r="A193" s="66"/>
      <c r="B193" s="63"/>
      <c r="C193" s="462" t="s">
        <v>331</v>
      </c>
      <c r="D193" s="126">
        <v>5059000</v>
      </c>
      <c r="E193" s="126">
        <f>5585100+2165300</f>
        <v>7750400</v>
      </c>
      <c r="F193" s="216">
        <f>206563.9+526427.1+106609</f>
        <v>839600</v>
      </c>
      <c r="G193" s="216"/>
      <c r="H193" s="216"/>
      <c r="I193" s="216"/>
      <c r="J193" s="216"/>
      <c r="K193" s="6"/>
    </row>
    <row r="194" spans="1:11" x14ac:dyDescent="0.25">
      <c r="A194" s="67"/>
      <c r="B194" s="65"/>
      <c r="C194" s="463" t="s">
        <v>318</v>
      </c>
      <c r="D194" s="5">
        <v>0</v>
      </c>
      <c r="E194" s="6">
        <v>434937</v>
      </c>
    </row>
    <row r="195" spans="1:11" ht="29.25" customHeight="1" x14ac:dyDescent="0.25">
      <c r="A195" s="67"/>
      <c r="B195" s="65"/>
      <c r="C195" s="464" t="s">
        <v>448</v>
      </c>
      <c r="D195" s="5"/>
      <c r="E195" s="6"/>
      <c r="F195" s="216">
        <v>500000</v>
      </c>
    </row>
    <row r="196" spans="1:11" ht="29.25" customHeight="1" x14ac:dyDescent="0.25">
      <c r="A196" s="67"/>
      <c r="B196" s="65"/>
      <c r="C196" s="464" t="s">
        <v>496</v>
      </c>
      <c r="D196" s="5"/>
      <c r="E196" s="6"/>
      <c r="F196" s="216">
        <v>22619307.829999998</v>
      </c>
    </row>
    <row r="197" spans="1:11" x14ac:dyDescent="0.25">
      <c r="A197" s="67"/>
      <c r="B197" s="65"/>
      <c r="C197" s="65"/>
      <c r="D197" s="5"/>
      <c r="E197" s="5"/>
    </row>
    <row r="198" spans="1:11" x14ac:dyDescent="0.25">
      <c r="A198" s="68"/>
      <c r="B198" s="69"/>
      <c r="C198" s="69" t="s">
        <v>33</v>
      </c>
      <c r="D198" s="6">
        <v>5921517433.7600002</v>
      </c>
      <c r="E198" s="6">
        <v>5976657477.8599997</v>
      </c>
      <c r="F198" s="216">
        <v>5674339021.2399998</v>
      </c>
      <c r="G198" s="216">
        <v>5209905934.79</v>
      </c>
      <c r="H198" s="216">
        <v>5205101134.79</v>
      </c>
      <c r="I198" s="216">
        <v>5203268534.79</v>
      </c>
      <c r="J198" s="216">
        <v>5118825834.79</v>
      </c>
    </row>
    <row r="199" spans="1:11" x14ac:dyDescent="0.25">
      <c r="A199" s="68"/>
      <c r="B199" s="69"/>
      <c r="C199" s="69" t="s">
        <v>34</v>
      </c>
      <c r="D199" s="5">
        <f t="shared" ref="D199:J199" si="86">D200-D198</f>
        <v>0</v>
      </c>
      <c r="E199" s="5">
        <f t="shared" si="86"/>
        <v>0</v>
      </c>
      <c r="F199" s="217">
        <f t="shared" si="86"/>
        <v>50738920.570000648</v>
      </c>
      <c r="G199" s="217">
        <f t="shared" si="86"/>
        <v>0</v>
      </c>
      <c r="H199" s="217">
        <f t="shared" si="86"/>
        <v>0</v>
      </c>
      <c r="I199" s="217">
        <f t="shared" si="86"/>
        <v>0</v>
      </c>
      <c r="J199" s="217">
        <f t="shared" si="86"/>
        <v>0</v>
      </c>
    </row>
    <row r="200" spans="1:11" s="1" customFormat="1" ht="14.25" customHeight="1" x14ac:dyDescent="0.25">
      <c r="A200" s="72"/>
      <c r="B200" s="72"/>
      <c r="C200" s="465" t="s">
        <v>19</v>
      </c>
      <c r="D200" s="6">
        <f t="shared" ref="D200:J200" si="87">D203+D187</f>
        <v>5921517433.7600002</v>
      </c>
      <c r="E200" s="6">
        <f t="shared" si="87"/>
        <v>5976657477.8600006</v>
      </c>
      <c r="F200" s="216">
        <f t="shared" si="87"/>
        <v>5725077941.8100004</v>
      </c>
      <c r="G200" s="216">
        <f t="shared" si="87"/>
        <v>5209905934.789999</v>
      </c>
      <c r="H200" s="216">
        <f t="shared" si="87"/>
        <v>5205101134.789999</v>
      </c>
      <c r="I200" s="216">
        <f t="shared" si="87"/>
        <v>5203268534.79</v>
      </c>
      <c r="J200" s="216">
        <f t="shared" si="87"/>
        <v>5118825834.79</v>
      </c>
      <c r="K200" s="6"/>
    </row>
    <row r="201" spans="1:11" s="1" customFormat="1" ht="14.25" customHeight="1" x14ac:dyDescent="0.25">
      <c r="A201" s="72"/>
      <c r="B201" s="72"/>
      <c r="C201" s="465" t="s">
        <v>161</v>
      </c>
      <c r="D201" s="5">
        <f t="shared" ref="D201:J201" si="88">D5+D8+D156+D193</f>
        <v>867206889.75999999</v>
      </c>
      <c r="E201" s="5">
        <f t="shared" si="88"/>
        <v>645132620.17000008</v>
      </c>
      <c r="F201" s="217">
        <f t="shared" si="88"/>
        <v>468352000</v>
      </c>
      <c r="G201" s="217">
        <f t="shared" si="88"/>
        <v>91080100</v>
      </c>
      <c r="H201" s="217">
        <f t="shared" si="88"/>
        <v>86275300</v>
      </c>
      <c r="I201" s="217">
        <f t="shared" si="88"/>
        <v>84442700</v>
      </c>
      <c r="J201" s="217">
        <f t="shared" si="88"/>
        <v>0</v>
      </c>
      <c r="K201" s="6"/>
    </row>
    <row r="202" spans="1:11" s="1" customFormat="1" ht="14.25" customHeight="1" x14ac:dyDescent="0.25">
      <c r="A202" s="72"/>
      <c r="B202" s="72"/>
      <c r="C202" s="465" t="s">
        <v>162</v>
      </c>
      <c r="D202" s="5">
        <f>D200-D201</f>
        <v>5054310544</v>
      </c>
      <c r="E202" s="5">
        <f t="shared" ref="E202:J202" si="89">E200-E201</f>
        <v>5331524857.6900005</v>
      </c>
      <c r="F202" s="217">
        <f t="shared" si="89"/>
        <v>5256725941.8100004</v>
      </c>
      <c r="G202" s="217">
        <f t="shared" si="89"/>
        <v>5118825834.789999</v>
      </c>
      <c r="H202" s="217">
        <f t="shared" si="89"/>
        <v>5118825834.789999</v>
      </c>
      <c r="I202" s="217">
        <f t="shared" si="89"/>
        <v>5118825834.79</v>
      </c>
      <c r="J202" s="217">
        <f t="shared" si="89"/>
        <v>5118825834.79</v>
      </c>
      <c r="K202" s="6"/>
    </row>
    <row r="203" spans="1:11" ht="13.5" customHeight="1" x14ac:dyDescent="0.25">
      <c r="A203" s="73"/>
      <c r="B203" s="73"/>
      <c r="C203" s="465" t="s">
        <v>20</v>
      </c>
      <c r="D203" s="6">
        <f t="shared" ref="D203:J203" si="90">D4+D148+D165+D173+D177+D182</f>
        <v>5901470033.7600002</v>
      </c>
      <c r="E203" s="6">
        <f t="shared" si="90"/>
        <v>5959536778.5600004</v>
      </c>
      <c r="F203" s="216">
        <f t="shared" si="90"/>
        <v>5684819033.9800005</v>
      </c>
      <c r="G203" s="216">
        <f t="shared" si="90"/>
        <v>5209905934.789999</v>
      </c>
      <c r="H203" s="216">
        <f t="shared" si="90"/>
        <v>5205101134.789999</v>
      </c>
      <c r="I203" s="216">
        <f t="shared" si="90"/>
        <v>5203268534.79</v>
      </c>
      <c r="J203" s="216">
        <f t="shared" si="90"/>
        <v>5118825834.79</v>
      </c>
    </row>
    <row r="204" spans="1:11" ht="13.5" customHeight="1" x14ac:dyDescent="0.25">
      <c r="A204" s="73"/>
      <c r="B204" s="73"/>
      <c r="C204" s="465"/>
      <c r="D204" s="6"/>
      <c r="E204" s="6"/>
      <c r="F204" s="216"/>
      <c r="G204" s="216"/>
      <c r="H204" s="216"/>
      <c r="I204" s="216"/>
      <c r="J204" s="216"/>
    </row>
    <row r="205" spans="1:11" s="1" customFormat="1" ht="15" customHeight="1" x14ac:dyDescent="0.25">
      <c r="A205" s="72"/>
      <c r="B205" s="72"/>
      <c r="C205" s="465" t="s">
        <v>15</v>
      </c>
      <c r="D205" s="6">
        <f t="shared" ref="D205:J205" si="91">D206+D207+D208</f>
        <v>86838800</v>
      </c>
      <c r="E205" s="6">
        <f t="shared" si="91"/>
        <v>40828500.139999993</v>
      </c>
      <c r="F205" s="216">
        <f t="shared" si="91"/>
        <v>96943570.129999995</v>
      </c>
      <c r="G205" s="216">
        <f t="shared" si="91"/>
        <v>96943570.129999995</v>
      </c>
      <c r="H205" s="216">
        <f t="shared" si="91"/>
        <v>96943570.129999995</v>
      </c>
      <c r="I205" s="216">
        <f t="shared" si="91"/>
        <v>96943570.129999995</v>
      </c>
      <c r="J205" s="216">
        <f t="shared" si="91"/>
        <v>96943570.129999995</v>
      </c>
      <c r="K205" s="6"/>
    </row>
    <row r="206" spans="1:11" x14ac:dyDescent="0.25">
      <c r="B206" s="4"/>
      <c r="C206" s="4" t="s">
        <v>12</v>
      </c>
      <c r="D206" s="5">
        <f t="shared" ref="D206:J206" si="92">D29+D48+D61+D78+D88+D97</f>
        <v>84602600</v>
      </c>
      <c r="E206" s="5">
        <f t="shared" si="92"/>
        <v>38356200.129999995</v>
      </c>
      <c r="F206" s="217">
        <f t="shared" si="92"/>
        <v>93322971.420000002</v>
      </c>
      <c r="G206" s="217">
        <f t="shared" si="92"/>
        <v>93322971.420000002</v>
      </c>
      <c r="H206" s="217">
        <f t="shared" si="92"/>
        <v>93322971.420000002</v>
      </c>
      <c r="I206" s="217">
        <f t="shared" si="92"/>
        <v>93322971.420000002</v>
      </c>
      <c r="J206" s="217">
        <f t="shared" si="92"/>
        <v>93322971.420000002</v>
      </c>
    </row>
    <row r="207" spans="1:11" x14ac:dyDescent="0.25">
      <c r="B207" s="4"/>
      <c r="C207" s="4" t="s">
        <v>13</v>
      </c>
      <c r="D207" s="5">
        <f t="shared" ref="D207:J207" si="93">D85</f>
        <v>743600</v>
      </c>
      <c r="E207" s="5">
        <f t="shared" si="93"/>
        <v>2333100</v>
      </c>
      <c r="F207" s="217">
        <f t="shared" si="93"/>
        <v>3281296.21</v>
      </c>
      <c r="G207" s="217">
        <f t="shared" si="93"/>
        <v>3281296.21</v>
      </c>
      <c r="H207" s="217">
        <f t="shared" si="93"/>
        <v>3281296.21</v>
      </c>
      <c r="I207" s="217">
        <f t="shared" si="93"/>
        <v>3281296.21</v>
      </c>
      <c r="J207" s="217">
        <f t="shared" si="93"/>
        <v>3281296.21</v>
      </c>
    </row>
    <row r="208" spans="1:11" x14ac:dyDescent="0.25">
      <c r="B208" s="4"/>
      <c r="C208" s="4" t="s">
        <v>14</v>
      </c>
      <c r="D208" s="5">
        <f t="shared" ref="D208:J208" si="94">D151</f>
        <v>1492600</v>
      </c>
      <c r="E208" s="5">
        <f t="shared" si="94"/>
        <v>139200.01</v>
      </c>
      <c r="F208" s="217">
        <f t="shared" si="94"/>
        <v>339302.5</v>
      </c>
      <c r="G208" s="217">
        <f t="shared" si="94"/>
        <v>339302.5</v>
      </c>
      <c r="H208" s="217">
        <f t="shared" si="94"/>
        <v>339302.5</v>
      </c>
      <c r="I208" s="217">
        <f t="shared" si="94"/>
        <v>339302.5</v>
      </c>
      <c r="J208" s="217">
        <f t="shared" si="94"/>
        <v>339302.5</v>
      </c>
    </row>
    <row r="209" spans="4:10" x14ac:dyDescent="0.25">
      <c r="D209" s="5"/>
      <c r="E209" s="5"/>
    </row>
    <row r="210" spans="4:10" x14ac:dyDescent="0.25">
      <c r="F210" s="217">
        <f>5724477941.81-F200</f>
        <v>-600000</v>
      </c>
    </row>
    <row r="211" spans="4:10" x14ac:dyDescent="0.25">
      <c r="J211" s="217" t="s">
        <v>164</v>
      </c>
    </row>
  </sheetData>
  <mergeCells count="43">
    <mergeCell ref="A3:A9"/>
    <mergeCell ref="B3:B9"/>
    <mergeCell ref="A171:A172"/>
    <mergeCell ref="A78:A80"/>
    <mergeCell ref="A85:A86"/>
    <mergeCell ref="A103:A108"/>
    <mergeCell ref="A110:A113"/>
    <mergeCell ref="A151:A154"/>
    <mergeCell ref="A14:A24"/>
    <mergeCell ref="A10:A12"/>
    <mergeCell ref="B10:B12"/>
    <mergeCell ref="A25:A27"/>
    <mergeCell ref="A40:A41"/>
    <mergeCell ref="B25:B27"/>
    <mergeCell ref="B137:B139"/>
    <mergeCell ref="A61:A64"/>
    <mergeCell ref="A180:A181"/>
    <mergeCell ref="A88:A89"/>
    <mergeCell ref="A48:A56"/>
    <mergeCell ref="A35:A38"/>
    <mergeCell ref="A141:A143"/>
    <mergeCell ref="A131:A136"/>
    <mergeCell ref="A162:A164"/>
    <mergeCell ref="A74:A76"/>
    <mergeCell ref="A116:A118"/>
    <mergeCell ref="A137:A139"/>
    <mergeCell ref="A44:A46"/>
    <mergeCell ref="A99:A101"/>
    <mergeCell ref="A146:A147"/>
    <mergeCell ref="B116:B118"/>
    <mergeCell ref="A122:A124"/>
    <mergeCell ref="B122:B124"/>
    <mergeCell ref="A127:A129"/>
    <mergeCell ref="B127:B129"/>
    <mergeCell ref="A120:A121"/>
    <mergeCell ref="A29:A31"/>
    <mergeCell ref="B74:B76"/>
    <mergeCell ref="A81:A83"/>
    <mergeCell ref="B81:B83"/>
    <mergeCell ref="B99:B101"/>
    <mergeCell ref="B44:B46"/>
    <mergeCell ref="A68:A70"/>
    <mergeCell ref="B68:B7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0"/>
  <sheetViews>
    <sheetView tabSelected="1" workbookViewId="0">
      <pane ySplit="7" topLeftCell="A8" activePane="bottomLeft" state="frozen"/>
      <selection pane="bottomLeft" activeCell="A412" sqref="A412:XFD605"/>
    </sheetView>
  </sheetViews>
  <sheetFormatPr defaultRowHeight="15" x14ac:dyDescent="0.25"/>
  <cols>
    <col min="1" max="1" width="4.7109375" style="4" customWidth="1"/>
    <col min="2" max="2" width="46.5703125" style="796" customWidth="1"/>
    <col min="3" max="3" width="19.85546875" style="473" customWidth="1"/>
    <col min="4" max="4" width="29.7109375" style="473" customWidth="1"/>
    <col min="5" max="5" width="18.28515625" style="318" customWidth="1"/>
    <col min="6" max="6" width="18.42578125" style="318" customWidth="1"/>
    <col min="7" max="7" width="35.85546875" style="749" customWidth="1"/>
    <col min="8" max="8" width="23.5703125" style="473" customWidth="1"/>
    <col min="9" max="9" width="14.28515625" style="749" customWidth="1"/>
    <col min="10" max="10" width="13.85546875" style="742" customWidth="1"/>
    <col min="11" max="11" width="13.85546875" style="473" customWidth="1"/>
    <col min="12" max="12" width="22.42578125" style="473" customWidth="1"/>
  </cols>
  <sheetData>
    <row r="1" spans="1:12" x14ac:dyDescent="0.25">
      <c r="B1" s="499"/>
      <c r="L1" s="472" t="s">
        <v>333</v>
      </c>
    </row>
    <row r="2" spans="1:12" ht="30" customHeight="1" x14ac:dyDescent="0.25">
      <c r="A2" s="1124" t="s">
        <v>678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</row>
    <row r="3" spans="1:12" x14ac:dyDescent="0.25">
      <c r="A3" s="750"/>
      <c r="B3" s="851" t="s">
        <v>334</v>
      </c>
      <c r="C3" s="1125" t="s">
        <v>335</v>
      </c>
      <c r="D3" s="1125"/>
      <c r="E3" s="1125"/>
      <c r="F3" s="319"/>
      <c r="G3" s="832"/>
    </row>
    <row r="4" spans="1:12" x14ac:dyDescent="0.25">
      <c r="A4" s="750"/>
      <c r="B4" s="851" t="s">
        <v>336</v>
      </c>
      <c r="C4" s="1096" t="s">
        <v>180</v>
      </c>
      <c r="D4" s="1096"/>
      <c r="E4" s="1096"/>
      <c r="F4" s="319"/>
      <c r="G4" s="832"/>
    </row>
    <row r="5" spans="1:12" ht="15.75" thickBot="1" x14ac:dyDescent="0.3">
      <c r="A5" s="750"/>
      <c r="B5" s="751"/>
      <c r="C5" s="832"/>
      <c r="D5" s="832"/>
      <c r="E5" s="319"/>
      <c r="F5" s="319"/>
      <c r="G5" s="832"/>
    </row>
    <row r="6" spans="1:12" ht="92.25" customHeight="1" thickBot="1" x14ac:dyDescent="0.3">
      <c r="A6" s="752" t="s">
        <v>245</v>
      </c>
      <c r="B6" s="753" t="s">
        <v>337</v>
      </c>
      <c r="C6" s="754" t="s">
        <v>175</v>
      </c>
      <c r="D6" s="754" t="s">
        <v>338</v>
      </c>
      <c r="E6" s="320" t="s">
        <v>339</v>
      </c>
      <c r="F6" s="330" t="s">
        <v>340</v>
      </c>
      <c r="G6" s="552" t="s">
        <v>341</v>
      </c>
      <c r="H6" s="181" t="s">
        <v>342</v>
      </c>
      <c r="I6" s="181" t="s">
        <v>343</v>
      </c>
      <c r="J6" s="744" t="s">
        <v>344</v>
      </c>
      <c r="K6" s="755" t="s">
        <v>345</v>
      </c>
      <c r="L6" s="474" t="s">
        <v>428</v>
      </c>
    </row>
    <row r="7" spans="1:12" ht="15.75" thickBot="1" x14ac:dyDescent="0.3">
      <c r="A7" s="756">
        <v>1</v>
      </c>
      <c r="B7" s="753">
        <v>2</v>
      </c>
      <c r="C7" s="757">
        <v>3</v>
      </c>
      <c r="D7" s="754">
        <v>4</v>
      </c>
      <c r="E7" s="341">
        <v>5</v>
      </c>
      <c r="F7" s="342">
        <v>6</v>
      </c>
      <c r="G7" s="552">
        <v>7</v>
      </c>
      <c r="H7" s="552">
        <v>8</v>
      </c>
      <c r="I7" s="552">
        <v>9</v>
      </c>
      <c r="J7" s="745">
        <v>10</v>
      </c>
      <c r="K7" s="758">
        <v>11</v>
      </c>
      <c r="L7" s="475">
        <v>12</v>
      </c>
    </row>
    <row r="8" spans="1:12" x14ac:dyDescent="0.25">
      <c r="A8" s="1246"/>
      <c r="B8" s="1234" t="s">
        <v>347</v>
      </c>
      <c r="C8" s="1084" t="s">
        <v>180</v>
      </c>
      <c r="D8" s="759" t="s">
        <v>348</v>
      </c>
      <c r="E8" s="806">
        <f>E9+E13</f>
        <v>17168456075.199999</v>
      </c>
      <c r="F8" s="822">
        <f>F9+F13</f>
        <v>7490889814.2800007</v>
      </c>
      <c r="G8" s="1084"/>
      <c r="H8" s="1084"/>
      <c r="I8" s="1084"/>
      <c r="J8" s="1087"/>
      <c r="K8" s="1248"/>
      <c r="L8" s="476">
        <f>L9+L13</f>
        <v>17020205875.199999</v>
      </c>
    </row>
    <row r="9" spans="1:12" x14ac:dyDescent="0.25">
      <c r="A9" s="1246"/>
      <c r="B9" s="1235"/>
      <c r="C9" s="1085"/>
      <c r="D9" s="760" t="s">
        <v>225</v>
      </c>
      <c r="E9" s="368">
        <f>E10+E11+E12</f>
        <v>6400357997.3999996</v>
      </c>
      <c r="F9" s="805">
        <f>F10+F11+F12</f>
        <v>2624814883.73</v>
      </c>
      <c r="G9" s="1085"/>
      <c r="H9" s="1085"/>
      <c r="I9" s="1085"/>
      <c r="J9" s="1088"/>
      <c r="K9" s="1249"/>
      <c r="L9" s="477">
        <f>L10+L11+L12</f>
        <v>6252107797.3999996</v>
      </c>
    </row>
    <row r="10" spans="1:12" x14ac:dyDescent="0.25">
      <c r="A10" s="1246"/>
      <c r="B10" s="1235"/>
      <c r="C10" s="1085"/>
      <c r="D10" s="856" t="s">
        <v>283</v>
      </c>
      <c r="E10" s="316">
        <f>E17+E50+E122+E236+E248+E334+E364+E385+E397</f>
        <v>5885890197.3999996</v>
      </c>
      <c r="F10" s="771">
        <f>F17+F50+F122+F236+F248+F334+F364+F385+F397</f>
        <v>2513246956.25</v>
      </c>
      <c r="G10" s="1085"/>
      <c r="H10" s="1085"/>
      <c r="I10" s="1085"/>
      <c r="J10" s="1088"/>
      <c r="K10" s="1249"/>
      <c r="L10" s="478">
        <f>L17+L50+L122+L236+L248+L334+L364+L385+L397</f>
        <v>5876279797.3999996</v>
      </c>
    </row>
    <row r="11" spans="1:12" x14ac:dyDescent="0.25">
      <c r="A11" s="1246"/>
      <c r="B11" s="1235"/>
      <c r="C11" s="1085"/>
      <c r="D11" s="856" t="s">
        <v>282</v>
      </c>
      <c r="E11" s="316">
        <f>E18+E51+E123+E237+E249+E335+E365+E386+E398</f>
        <v>514467800</v>
      </c>
      <c r="F11" s="771">
        <f>F18+F51+F123+F237+F249+F335+F365+F386+F398</f>
        <v>111567927.47999999</v>
      </c>
      <c r="G11" s="1085"/>
      <c r="H11" s="1085"/>
      <c r="I11" s="1085"/>
      <c r="J11" s="1088"/>
      <c r="K11" s="1249"/>
      <c r="L11" s="478">
        <f>L18+L51+L123+L237+L249+L335+L365+L386+L398</f>
        <v>375828000</v>
      </c>
    </row>
    <row r="12" spans="1:12" ht="15.75" thickBot="1" x14ac:dyDescent="0.3">
      <c r="A12" s="1246"/>
      <c r="B12" s="1235"/>
      <c r="C12" s="1086"/>
      <c r="D12" s="151" t="s">
        <v>281</v>
      </c>
      <c r="E12" s="321">
        <f>E250</f>
        <v>0</v>
      </c>
      <c r="F12" s="772">
        <f>F250</f>
        <v>0</v>
      </c>
      <c r="G12" s="1086"/>
      <c r="H12" s="1086"/>
      <c r="I12" s="1086"/>
      <c r="J12" s="1089"/>
      <c r="K12" s="1250"/>
      <c r="L12" s="479">
        <f>L250</f>
        <v>0</v>
      </c>
    </row>
    <row r="13" spans="1:12" ht="36" customHeight="1" x14ac:dyDescent="0.25">
      <c r="A13" s="1246"/>
      <c r="B13" s="1235"/>
      <c r="C13" s="1084" t="s">
        <v>349</v>
      </c>
      <c r="D13" s="762" t="s">
        <v>350</v>
      </c>
      <c r="E13" s="364">
        <f>E14</f>
        <v>10768098077.799999</v>
      </c>
      <c r="F13" s="347">
        <f>F14</f>
        <v>4866074930.5500002</v>
      </c>
      <c r="G13" s="976"/>
      <c r="H13" s="976"/>
      <c r="I13" s="976"/>
      <c r="J13" s="1097"/>
      <c r="K13" s="1103"/>
      <c r="L13" s="476">
        <f>L14</f>
        <v>10768098077.799999</v>
      </c>
    </row>
    <row r="14" spans="1:12" ht="36" customHeight="1" thickBot="1" x14ac:dyDescent="0.3">
      <c r="A14" s="1247"/>
      <c r="B14" s="1236"/>
      <c r="C14" s="1086"/>
      <c r="D14" s="857" t="s">
        <v>351</v>
      </c>
      <c r="E14" s="321">
        <f>E366</f>
        <v>10768098077.799999</v>
      </c>
      <c r="F14" s="772">
        <f>F366</f>
        <v>4866074930.5500002</v>
      </c>
      <c r="G14" s="978"/>
      <c r="H14" s="978"/>
      <c r="I14" s="978"/>
      <c r="J14" s="1099"/>
      <c r="K14" s="1105"/>
      <c r="L14" s="479">
        <f>L366</f>
        <v>10768098077.799999</v>
      </c>
    </row>
    <row r="15" spans="1:12" ht="15.75" thickBot="1" x14ac:dyDescent="0.3">
      <c r="A15" s="1093"/>
      <c r="B15" s="1094"/>
      <c r="C15" s="1094"/>
      <c r="D15" s="1094"/>
      <c r="E15" s="1094"/>
      <c r="F15" s="1094"/>
      <c r="G15" s="1094"/>
      <c r="H15" s="1094"/>
      <c r="I15" s="1094"/>
      <c r="J15" s="1094"/>
      <c r="K15" s="1094"/>
      <c r="L15" s="1095"/>
    </row>
    <row r="16" spans="1:12" x14ac:dyDescent="0.25">
      <c r="A16" s="976"/>
      <c r="B16" s="1231" t="s">
        <v>67</v>
      </c>
      <c r="C16" s="1002" t="s">
        <v>180</v>
      </c>
      <c r="D16" s="865" t="s">
        <v>225</v>
      </c>
      <c r="E16" s="365">
        <f>E17+E18</f>
        <v>760885603</v>
      </c>
      <c r="F16" s="797">
        <f>F17+F18</f>
        <v>61800000</v>
      </c>
      <c r="G16" s="1002"/>
      <c r="H16" s="1002"/>
      <c r="I16" s="1002"/>
      <c r="J16" s="1033"/>
      <c r="K16" s="1036"/>
      <c r="L16" s="480">
        <f>L17+L18</f>
        <v>682975603</v>
      </c>
    </row>
    <row r="17" spans="1:12" x14ac:dyDescent="0.25">
      <c r="A17" s="977"/>
      <c r="B17" s="1232"/>
      <c r="C17" s="1003"/>
      <c r="D17" s="869" t="s">
        <v>283</v>
      </c>
      <c r="E17" s="366">
        <f>E20</f>
        <v>582207103</v>
      </c>
      <c r="F17" s="773">
        <f>F20</f>
        <v>61800000</v>
      </c>
      <c r="G17" s="1003"/>
      <c r="H17" s="1003"/>
      <c r="I17" s="1003"/>
      <c r="J17" s="1034"/>
      <c r="K17" s="1037"/>
      <c r="L17" s="481">
        <f>L20</f>
        <v>573321703</v>
      </c>
    </row>
    <row r="18" spans="1:12" ht="15.75" thickBot="1" x14ac:dyDescent="0.3">
      <c r="A18" s="977"/>
      <c r="B18" s="1233"/>
      <c r="C18" s="1004"/>
      <c r="D18" s="873" t="s">
        <v>282</v>
      </c>
      <c r="E18" s="367">
        <f>E21</f>
        <v>178678500</v>
      </c>
      <c r="F18" s="774">
        <f>F21</f>
        <v>0</v>
      </c>
      <c r="G18" s="1004"/>
      <c r="H18" s="1004"/>
      <c r="I18" s="1004"/>
      <c r="J18" s="1035"/>
      <c r="K18" s="1038"/>
      <c r="L18" s="482">
        <f>L21</f>
        <v>109653900</v>
      </c>
    </row>
    <row r="19" spans="1:12" x14ac:dyDescent="0.25">
      <c r="A19" s="977"/>
      <c r="B19" s="1234" t="s">
        <v>68</v>
      </c>
      <c r="C19" s="970" t="s">
        <v>180</v>
      </c>
      <c r="D19" s="766" t="s">
        <v>225</v>
      </c>
      <c r="E19" s="364">
        <f>E20+E21</f>
        <v>760885603</v>
      </c>
      <c r="F19" s="347">
        <f>F20+F21</f>
        <v>61800000</v>
      </c>
      <c r="G19" s="976"/>
      <c r="H19" s="976"/>
      <c r="I19" s="976"/>
      <c r="J19" s="1097"/>
      <c r="K19" s="1103"/>
      <c r="L19" s="353">
        <f>L20+L21</f>
        <v>682975603</v>
      </c>
    </row>
    <row r="20" spans="1:12" x14ac:dyDescent="0.25">
      <c r="A20" s="977"/>
      <c r="B20" s="1235"/>
      <c r="C20" s="971"/>
      <c r="D20" s="856" t="s">
        <v>283</v>
      </c>
      <c r="E20" s="316">
        <f>E23+E26+E29+E32+E35+E38+E41+E44+E47</f>
        <v>582207103</v>
      </c>
      <c r="F20" s="771">
        <f>F23+F26+F29+F32+F35+F38+F41+F44+F47</f>
        <v>61800000</v>
      </c>
      <c r="G20" s="977"/>
      <c r="H20" s="977"/>
      <c r="I20" s="977"/>
      <c r="J20" s="1098"/>
      <c r="K20" s="1104"/>
      <c r="L20" s="145">
        <f>L23+L26+L29+L32+L35+L38+L41+L44+L47</f>
        <v>573321703</v>
      </c>
    </row>
    <row r="21" spans="1:12" ht="15.75" thickBot="1" x14ac:dyDescent="0.3">
      <c r="A21" s="977"/>
      <c r="B21" s="1236"/>
      <c r="C21" s="972"/>
      <c r="D21" s="857" t="s">
        <v>282</v>
      </c>
      <c r="E21" s="321">
        <f>E24+E27+E30+E33+E36+E39+E42+E45+E48</f>
        <v>178678500</v>
      </c>
      <c r="F21" s="772">
        <f>F24+F27+F30+F33+F36+F39+F42+F45+F48</f>
        <v>0</v>
      </c>
      <c r="G21" s="978"/>
      <c r="H21" s="978"/>
      <c r="I21" s="978"/>
      <c r="J21" s="1099"/>
      <c r="K21" s="1105"/>
      <c r="L21" s="145">
        <f>L24+L27+L30+L33+L36+L39+L42+L45+L48</f>
        <v>109653900</v>
      </c>
    </row>
    <row r="22" spans="1:12" ht="56.25" customHeight="1" x14ac:dyDescent="0.25">
      <c r="A22" s="977"/>
      <c r="B22" s="1237" t="s">
        <v>6</v>
      </c>
      <c r="C22" s="976" t="s">
        <v>180</v>
      </c>
      <c r="D22" s="766" t="s">
        <v>225</v>
      </c>
      <c r="E22" s="349">
        <f>E23+E24</f>
        <v>122135660</v>
      </c>
      <c r="F22" s="343">
        <f>F23+F24</f>
        <v>6000000</v>
      </c>
      <c r="G22" s="976" t="s">
        <v>445</v>
      </c>
      <c r="H22" s="1118" t="s">
        <v>511</v>
      </c>
      <c r="I22" s="976" t="s">
        <v>352</v>
      </c>
      <c r="J22" s="1097">
        <v>0</v>
      </c>
      <c r="K22" s="1138">
        <v>0</v>
      </c>
      <c r="L22" s="486">
        <f>L23+L24</f>
        <v>142705360</v>
      </c>
    </row>
    <row r="23" spans="1:12" ht="56.25" customHeight="1" x14ac:dyDescent="0.25">
      <c r="A23" s="977"/>
      <c r="B23" s="1238"/>
      <c r="C23" s="977"/>
      <c r="D23" s="856" t="s">
        <v>283</v>
      </c>
      <c r="E23" s="350">
        <v>122135660</v>
      </c>
      <c r="F23" s="331">
        <f>6000000</f>
        <v>6000000</v>
      </c>
      <c r="G23" s="977"/>
      <c r="H23" s="1134"/>
      <c r="I23" s="1173"/>
      <c r="J23" s="1174"/>
      <c r="K23" s="1251"/>
      <c r="L23" s="467">
        <f>38961377+103743983</f>
        <v>142705360</v>
      </c>
    </row>
    <row r="24" spans="1:12" ht="96.75" customHeight="1" thickBot="1" x14ac:dyDescent="0.3">
      <c r="A24" s="977"/>
      <c r="B24" s="1239"/>
      <c r="C24" s="978"/>
      <c r="D24" s="857" t="s">
        <v>282</v>
      </c>
      <c r="E24" s="351">
        <v>0</v>
      </c>
      <c r="F24" s="332">
        <v>0</v>
      </c>
      <c r="G24" s="978"/>
      <c r="H24" s="141" t="s">
        <v>524</v>
      </c>
      <c r="I24" s="839" t="s">
        <v>353</v>
      </c>
      <c r="J24" s="835">
        <v>19.600000000000001</v>
      </c>
      <c r="K24" s="840">
        <v>4.2</v>
      </c>
      <c r="L24" s="469">
        <v>0</v>
      </c>
    </row>
    <row r="25" spans="1:12" ht="40.5" customHeight="1" x14ac:dyDescent="0.25">
      <c r="A25" s="977"/>
      <c r="B25" s="1237" t="s">
        <v>7</v>
      </c>
      <c r="C25" s="976" t="s">
        <v>180</v>
      </c>
      <c r="D25" s="766" t="s">
        <v>225</v>
      </c>
      <c r="E25" s="349">
        <f>E26+E27</f>
        <v>408210400</v>
      </c>
      <c r="F25" s="343">
        <f>F26+F27</f>
        <v>55800000</v>
      </c>
      <c r="G25" s="976" t="s">
        <v>445</v>
      </c>
      <c r="H25" s="1118" t="s">
        <v>512</v>
      </c>
      <c r="I25" s="1055" t="s">
        <v>353</v>
      </c>
      <c r="J25" s="1097">
        <v>60.9</v>
      </c>
      <c r="K25" s="1138">
        <v>14</v>
      </c>
      <c r="L25" s="486">
        <f>L26+L27</f>
        <v>398600000</v>
      </c>
    </row>
    <row r="26" spans="1:12" ht="40.5" customHeight="1" x14ac:dyDescent="0.25">
      <c r="A26" s="977"/>
      <c r="B26" s="1238"/>
      <c r="C26" s="977"/>
      <c r="D26" s="856" t="s">
        <v>283</v>
      </c>
      <c r="E26" s="350">
        <v>408210400</v>
      </c>
      <c r="F26" s="331">
        <f>37200000+18600000</f>
        <v>55800000</v>
      </c>
      <c r="G26" s="977"/>
      <c r="H26" s="1119"/>
      <c r="I26" s="1056"/>
      <c r="J26" s="1098"/>
      <c r="K26" s="1139"/>
      <c r="L26" s="467">
        <v>398600000</v>
      </c>
    </row>
    <row r="27" spans="1:12" ht="40.5" customHeight="1" thickBot="1" x14ac:dyDescent="0.3">
      <c r="A27" s="977"/>
      <c r="B27" s="1239"/>
      <c r="C27" s="978"/>
      <c r="D27" s="857" t="s">
        <v>282</v>
      </c>
      <c r="E27" s="351">
        <v>0</v>
      </c>
      <c r="F27" s="332">
        <v>0</v>
      </c>
      <c r="G27" s="978"/>
      <c r="H27" s="1120"/>
      <c r="I27" s="1057"/>
      <c r="J27" s="1099"/>
      <c r="K27" s="1140"/>
      <c r="L27" s="469">
        <v>0</v>
      </c>
    </row>
    <row r="28" spans="1:12" ht="31.5" customHeight="1" x14ac:dyDescent="0.25">
      <c r="A28" s="977"/>
      <c r="B28" s="1237" t="s">
        <v>513</v>
      </c>
      <c r="C28" s="976" t="s">
        <v>180</v>
      </c>
      <c r="D28" s="766" t="s">
        <v>225</v>
      </c>
      <c r="E28" s="349">
        <f>E29+E30</f>
        <v>6000000</v>
      </c>
      <c r="F28" s="343">
        <f>F29+F30</f>
        <v>0</v>
      </c>
      <c r="G28" s="976" t="s">
        <v>445</v>
      </c>
      <c r="H28" s="1118" t="s">
        <v>514</v>
      </c>
      <c r="I28" s="1055" t="s">
        <v>353</v>
      </c>
      <c r="J28" s="1097">
        <v>100</v>
      </c>
      <c r="K28" s="1138">
        <v>0</v>
      </c>
      <c r="L28" s="353">
        <f>L29+L30</f>
        <v>6000000</v>
      </c>
    </row>
    <row r="29" spans="1:12" ht="31.5" customHeight="1" x14ac:dyDescent="0.25">
      <c r="A29" s="977"/>
      <c r="B29" s="1238"/>
      <c r="C29" s="977"/>
      <c r="D29" s="856" t="s">
        <v>283</v>
      </c>
      <c r="E29" s="350">
        <v>6000000</v>
      </c>
      <c r="F29" s="331">
        <v>0</v>
      </c>
      <c r="G29" s="977"/>
      <c r="H29" s="1119"/>
      <c r="I29" s="1056"/>
      <c r="J29" s="1098"/>
      <c r="K29" s="1139"/>
      <c r="L29" s="145">
        <v>6000000</v>
      </c>
    </row>
    <row r="30" spans="1:12" ht="31.5" customHeight="1" thickBot="1" x14ac:dyDescent="0.3">
      <c r="A30" s="977"/>
      <c r="B30" s="1239"/>
      <c r="C30" s="978"/>
      <c r="D30" s="857" t="s">
        <v>282</v>
      </c>
      <c r="E30" s="351">
        <v>0</v>
      </c>
      <c r="F30" s="332">
        <v>0</v>
      </c>
      <c r="G30" s="978"/>
      <c r="H30" s="1120"/>
      <c r="I30" s="1057"/>
      <c r="J30" s="1099"/>
      <c r="K30" s="1140"/>
      <c r="L30" s="487">
        <v>0</v>
      </c>
    </row>
    <row r="31" spans="1:12" ht="52.5" customHeight="1" x14ac:dyDescent="0.25">
      <c r="A31" s="977"/>
      <c r="B31" s="1237" t="s">
        <v>648</v>
      </c>
      <c r="C31" s="976" t="s">
        <v>180</v>
      </c>
      <c r="D31" s="766" t="s">
        <v>225</v>
      </c>
      <c r="E31" s="349">
        <f>E32+E33</f>
        <v>1825000</v>
      </c>
      <c r="F31" s="343">
        <f>F32+F33</f>
        <v>0</v>
      </c>
      <c r="G31" s="976" t="s">
        <v>445</v>
      </c>
      <c r="H31" s="1118" t="s">
        <v>649</v>
      </c>
      <c r="I31" s="1055" t="s">
        <v>353</v>
      </c>
      <c r="J31" s="1097">
        <v>8.6999999999999993</v>
      </c>
      <c r="K31" s="1138">
        <v>0</v>
      </c>
      <c r="L31" s="353">
        <f>L32+L33</f>
        <v>831000</v>
      </c>
    </row>
    <row r="32" spans="1:12" ht="52.5" customHeight="1" x14ac:dyDescent="0.25">
      <c r="A32" s="977"/>
      <c r="B32" s="1238"/>
      <c r="C32" s="977"/>
      <c r="D32" s="856" t="s">
        <v>283</v>
      </c>
      <c r="E32" s="350">
        <v>1825000</v>
      </c>
      <c r="F32" s="331">
        <f>0+0</f>
        <v>0</v>
      </c>
      <c r="G32" s="977"/>
      <c r="H32" s="1119"/>
      <c r="I32" s="1056"/>
      <c r="J32" s="1098"/>
      <c r="K32" s="1139"/>
      <c r="L32" s="145">
        <f>700000+131000</f>
        <v>831000</v>
      </c>
    </row>
    <row r="33" spans="1:12" ht="52.5" customHeight="1" thickBot="1" x14ac:dyDescent="0.3">
      <c r="A33" s="977"/>
      <c r="B33" s="1238"/>
      <c r="C33" s="977"/>
      <c r="D33" s="769" t="s">
        <v>282</v>
      </c>
      <c r="E33" s="894">
        <v>0</v>
      </c>
      <c r="F33" s="895">
        <v>0</v>
      </c>
      <c r="G33" s="977"/>
      <c r="H33" s="1119"/>
      <c r="I33" s="1056"/>
      <c r="J33" s="1098"/>
      <c r="K33" s="1139"/>
      <c r="L33" s="896">
        <v>0</v>
      </c>
    </row>
    <row r="34" spans="1:12" ht="57.75" customHeight="1" x14ac:dyDescent="0.25">
      <c r="A34" s="977"/>
      <c r="B34" s="1237" t="s">
        <v>650</v>
      </c>
      <c r="C34" s="976" t="s">
        <v>180</v>
      </c>
      <c r="D34" s="766" t="s">
        <v>225</v>
      </c>
      <c r="E34" s="349">
        <f>E35+E36</f>
        <v>2100000</v>
      </c>
      <c r="F34" s="343">
        <f>F35+F36</f>
        <v>0</v>
      </c>
      <c r="G34" s="976" t="s">
        <v>445</v>
      </c>
      <c r="H34" s="1118" t="s">
        <v>651</v>
      </c>
      <c r="I34" s="1055" t="s">
        <v>353</v>
      </c>
      <c r="J34" s="1097">
        <v>100</v>
      </c>
      <c r="K34" s="1138">
        <v>0</v>
      </c>
      <c r="L34" s="353">
        <f>L35+L36</f>
        <v>2100000</v>
      </c>
    </row>
    <row r="35" spans="1:12" ht="57.75" customHeight="1" x14ac:dyDescent="0.25">
      <c r="A35" s="977"/>
      <c r="B35" s="1238"/>
      <c r="C35" s="977"/>
      <c r="D35" s="856" t="s">
        <v>283</v>
      </c>
      <c r="E35" s="350">
        <f>700000+1400000</f>
        <v>2100000</v>
      </c>
      <c r="F35" s="331">
        <f>0</f>
        <v>0</v>
      </c>
      <c r="G35" s="977"/>
      <c r="H35" s="1119"/>
      <c r="I35" s="1056"/>
      <c r="J35" s="1098"/>
      <c r="K35" s="1139"/>
      <c r="L35" s="145">
        <v>2100000</v>
      </c>
    </row>
    <row r="36" spans="1:12" ht="57.75" customHeight="1" thickBot="1" x14ac:dyDescent="0.3">
      <c r="A36" s="977"/>
      <c r="B36" s="1239"/>
      <c r="C36" s="978"/>
      <c r="D36" s="857" t="s">
        <v>282</v>
      </c>
      <c r="E36" s="351">
        <v>0</v>
      </c>
      <c r="F36" s="332">
        <v>0</v>
      </c>
      <c r="G36" s="977"/>
      <c r="H36" s="1119"/>
      <c r="I36" s="1056"/>
      <c r="J36" s="1098"/>
      <c r="K36" s="1139"/>
      <c r="L36" s="896">
        <v>0</v>
      </c>
    </row>
    <row r="37" spans="1:12" ht="54.75" customHeight="1" x14ac:dyDescent="0.25">
      <c r="A37" s="977"/>
      <c r="B37" s="1237" t="s">
        <v>652</v>
      </c>
      <c r="C37" s="976" t="s">
        <v>180</v>
      </c>
      <c r="D37" s="766" t="s">
        <v>225</v>
      </c>
      <c r="E37" s="349">
        <f>E38+E39</f>
        <v>137339943</v>
      </c>
      <c r="F37" s="343">
        <f>F38+F39</f>
        <v>0</v>
      </c>
      <c r="G37" s="1055" t="s">
        <v>445</v>
      </c>
      <c r="H37" s="75" t="s">
        <v>653</v>
      </c>
      <c r="I37" s="75" t="s">
        <v>655</v>
      </c>
      <c r="J37" s="844">
        <v>5.6</v>
      </c>
      <c r="K37" s="847">
        <v>3.2</v>
      </c>
      <c r="L37" s="486">
        <f>L38+L39</f>
        <v>118489243</v>
      </c>
    </row>
    <row r="38" spans="1:12" ht="54.75" customHeight="1" x14ac:dyDescent="0.25">
      <c r="A38" s="977"/>
      <c r="B38" s="1238"/>
      <c r="C38" s="977"/>
      <c r="D38" s="856" t="s">
        <v>283</v>
      </c>
      <c r="E38" s="350">
        <v>27686043</v>
      </c>
      <c r="F38" s="331">
        <v>0</v>
      </c>
      <c r="G38" s="1056"/>
      <c r="H38" s="1133" t="s">
        <v>654</v>
      </c>
      <c r="I38" s="1133" t="s">
        <v>655</v>
      </c>
      <c r="J38" s="1167">
        <v>7.2</v>
      </c>
      <c r="K38" s="1230">
        <v>5.6</v>
      </c>
      <c r="L38" s="467">
        <v>8835343</v>
      </c>
    </row>
    <row r="39" spans="1:12" ht="54.75" customHeight="1" thickBot="1" x14ac:dyDescent="0.3">
      <c r="A39" s="977"/>
      <c r="B39" s="1239"/>
      <c r="C39" s="978"/>
      <c r="D39" s="857" t="s">
        <v>282</v>
      </c>
      <c r="E39" s="332">
        <v>109653900</v>
      </c>
      <c r="F39" s="332">
        <v>0</v>
      </c>
      <c r="G39" s="1057"/>
      <c r="H39" s="1120"/>
      <c r="I39" s="1120"/>
      <c r="J39" s="1099"/>
      <c r="K39" s="1140"/>
      <c r="L39" s="487">
        <v>109653900</v>
      </c>
    </row>
    <row r="40" spans="1:12" ht="31.5" customHeight="1" x14ac:dyDescent="0.25">
      <c r="A40" s="977"/>
      <c r="B40" s="1237" t="s">
        <v>656</v>
      </c>
      <c r="C40" s="977" t="s">
        <v>180</v>
      </c>
      <c r="D40" s="897" t="s">
        <v>225</v>
      </c>
      <c r="E40" s="898">
        <f>E41+E42</f>
        <v>53879200</v>
      </c>
      <c r="F40" s="899">
        <f>F41+F42</f>
        <v>0</v>
      </c>
      <c r="G40" s="977" t="s">
        <v>445</v>
      </c>
      <c r="H40" s="1119" t="s">
        <v>657</v>
      </c>
      <c r="I40" s="1056" t="s">
        <v>357</v>
      </c>
      <c r="J40" s="1098" t="s">
        <v>227</v>
      </c>
      <c r="K40" s="1139" t="s">
        <v>227</v>
      </c>
      <c r="L40" s="785">
        <f>L41+L42</f>
        <v>0</v>
      </c>
    </row>
    <row r="41" spans="1:12" ht="31.5" customHeight="1" x14ac:dyDescent="0.25">
      <c r="A41" s="977"/>
      <c r="B41" s="1238"/>
      <c r="C41" s="977"/>
      <c r="D41" s="856" t="s">
        <v>283</v>
      </c>
      <c r="E41" s="350">
        <v>0</v>
      </c>
      <c r="F41" s="331">
        <v>0</v>
      </c>
      <c r="G41" s="977"/>
      <c r="H41" s="1119"/>
      <c r="I41" s="1056"/>
      <c r="J41" s="1098"/>
      <c r="K41" s="1139"/>
      <c r="L41" s="145">
        <v>0</v>
      </c>
    </row>
    <row r="42" spans="1:12" ht="31.5" customHeight="1" thickBot="1" x14ac:dyDescent="0.3">
      <c r="A42" s="977"/>
      <c r="B42" s="1238"/>
      <c r="C42" s="977"/>
      <c r="D42" s="769" t="s">
        <v>282</v>
      </c>
      <c r="E42" s="894">
        <v>53879200</v>
      </c>
      <c r="F42" s="895">
        <v>0</v>
      </c>
      <c r="G42" s="977"/>
      <c r="H42" s="1119"/>
      <c r="I42" s="1056"/>
      <c r="J42" s="1098"/>
      <c r="K42" s="1139"/>
      <c r="L42" s="896">
        <v>0</v>
      </c>
    </row>
    <row r="43" spans="1:12" ht="31.5" customHeight="1" x14ac:dyDescent="0.25">
      <c r="A43" s="977"/>
      <c r="B43" s="1237" t="s">
        <v>658</v>
      </c>
      <c r="C43" s="976" t="s">
        <v>180</v>
      </c>
      <c r="D43" s="766" t="s">
        <v>225</v>
      </c>
      <c r="E43" s="349">
        <f>E44+E45</f>
        <v>15145400</v>
      </c>
      <c r="F43" s="343">
        <f>F44+F45</f>
        <v>0</v>
      </c>
      <c r="G43" s="976" t="s">
        <v>445</v>
      </c>
      <c r="H43" s="1118" t="s">
        <v>659</v>
      </c>
      <c r="I43" s="1055" t="s">
        <v>353</v>
      </c>
      <c r="J43" s="1097">
        <v>2</v>
      </c>
      <c r="K43" s="1138">
        <v>0</v>
      </c>
      <c r="L43" s="353">
        <f>L44+L45</f>
        <v>0</v>
      </c>
    </row>
    <row r="44" spans="1:12" ht="31.5" customHeight="1" x14ac:dyDescent="0.25">
      <c r="A44" s="977"/>
      <c r="B44" s="1238"/>
      <c r="C44" s="977"/>
      <c r="D44" s="856" t="s">
        <v>283</v>
      </c>
      <c r="E44" s="350">
        <v>0</v>
      </c>
      <c r="F44" s="331">
        <v>0</v>
      </c>
      <c r="G44" s="977"/>
      <c r="H44" s="1119"/>
      <c r="I44" s="1056"/>
      <c r="J44" s="1098"/>
      <c r="K44" s="1139"/>
      <c r="L44" s="145">
        <v>0</v>
      </c>
    </row>
    <row r="45" spans="1:12" ht="31.5" customHeight="1" thickBot="1" x14ac:dyDescent="0.3">
      <c r="A45" s="977"/>
      <c r="B45" s="1239"/>
      <c r="C45" s="978"/>
      <c r="D45" s="857" t="s">
        <v>282</v>
      </c>
      <c r="E45" s="351">
        <v>15145400</v>
      </c>
      <c r="F45" s="332">
        <v>0</v>
      </c>
      <c r="G45" s="978"/>
      <c r="H45" s="1120"/>
      <c r="I45" s="1057"/>
      <c r="J45" s="1099"/>
      <c r="K45" s="1140"/>
      <c r="L45" s="487">
        <v>0</v>
      </c>
    </row>
    <row r="46" spans="1:12" ht="36" customHeight="1" x14ac:dyDescent="0.25">
      <c r="A46" s="977"/>
      <c r="B46" s="1237" t="s">
        <v>660</v>
      </c>
      <c r="C46" s="976" t="s">
        <v>180</v>
      </c>
      <c r="D46" s="766" t="s">
        <v>225</v>
      </c>
      <c r="E46" s="349">
        <f>E47+E48</f>
        <v>14250000</v>
      </c>
      <c r="F46" s="343">
        <f>F47+F48</f>
        <v>0</v>
      </c>
      <c r="G46" s="976" t="s">
        <v>445</v>
      </c>
      <c r="H46" s="1118" t="s">
        <v>661</v>
      </c>
      <c r="I46" s="1055" t="s">
        <v>353</v>
      </c>
      <c r="J46" s="1097">
        <v>100</v>
      </c>
      <c r="K46" s="1138">
        <v>0</v>
      </c>
      <c r="L46" s="353">
        <f>L47+L48</f>
        <v>14250000</v>
      </c>
    </row>
    <row r="47" spans="1:12" ht="36" customHeight="1" x14ac:dyDescent="0.25">
      <c r="A47" s="977"/>
      <c r="B47" s="1238"/>
      <c r="C47" s="977"/>
      <c r="D47" s="856" t="s">
        <v>283</v>
      </c>
      <c r="E47" s="350">
        <v>14250000</v>
      </c>
      <c r="F47" s="331">
        <v>0</v>
      </c>
      <c r="G47" s="977"/>
      <c r="H47" s="1119"/>
      <c r="I47" s="1056"/>
      <c r="J47" s="1098"/>
      <c r="K47" s="1139"/>
      <c r="L47" s="145">
        <v>14250000</v>
      </c>
    </row>
    <row r="48" spans="1:12" ht="36" customHeight="1" thickBot="1" x14ac:dyDescent="0.3">
      <c r="A48" s="978"/>
      <c r="B48" s="1239"/>
      <c r="C48" s="978"/>
      <c r="D48" s="857" t="s">
        <v>282</v>
      </c>
      <c r="E48" s="351">
        <v>0</v>
      </c>
      <c r="F48" s="332">
        <v>0</v>
      </c>
      <c r="G48" s="978"/>
      <c r="H48" s="1120"/>
      <c r="I48" s="1057"/>
      <c r="J48" s="1099"/>
      <c r="K48" s="1140"/>
      <c r="L48" s="487">
        <v>0</v>
      </c>
    </row>
    <row r="49" spans="1:12" x14ac:dyDescent="0.25">
      <c r="A49" s="1055"/>
      <c r="B49" s="1231" t="s">
        <v>69</v>
      </c>
      <c r="C49" s="1002" t="s">
        <v>180</v>
      </c>
      <c r="D49" s="865" t="s">
        <v>225</v>
      </c>
      <c r="E49" s="365">
        <f>E50+E51</f>
        <v>464737915.36000001</v>
      </c>
      <c r="F49" s="797">
        <f>F50+F51</f>
        <v>221296786.03</v>
      </c>
      <c r="G49" s="1002"/>
      <c r="H49" s="1002"/>
      <c r="I49" s="1179"/>
      <c r="J49" s="1033"/>
      <c r="K49" s="1036"/>
      <c r="L49" s="484">
        <f>L50+L51</f>
        <v>446449315.36000001</v>
      </c>
    </row>
    <row r="50" spans="1:12" x14ac:dyDescent="0.25">
      <c r="A50" s="1056"/>
      <c r="B50" s="1232"/>
      <c r="C50" s="1003"/>
      <c r="D50" s="869" t="s">
        <v>283</v>
      </c>
      <c r="E50" s="366">
        <f>E53+E107+E113</f>
        <v>234250915.36000001</v>
      </c>
      <c r="F50" s="773">
        <f>F53+F107+F113</f>
        <v>118383279.09</v>
      </c>
      <c r="G50" s="1003"/>
      <c r="H50" s="1003"/>
      <c r="I50" s="1180"/>
      <c r="J50" s="1034"/>
      <c r="K50" s="1037"/>
      <c r="L50" s="485">
        <f>L53+L107+L113</f>
        <v>234250915.36000001</v>
      </c>
    </row>
    <row r="51" spans="1:12" ht="15.75" thickBot="1" x14ac:dyDescent="0.3">
      <c r="A51" s="1056"/>
      <c r="B51" s="1233"/>
      <c r="C51" s="1004"/>
      <c r="D51" s="873" t="s">
        <v>282</v>
      </c>
      <c r="E51" s="367">
        <f>E54+E108+E114</f>
        <v>230487000</v>
      </c>
      <c r="F51" s="774">
        <f>F54+F108+F114</f>
        <v>102913506.94</v>
      </c>
      <c r="G51" s="1004"/>
      <c r="H51" s="1004"/>
      <c r="I51" s="1181"/>
      <c r="J51" s="1035"/>
      <c r="K51" s="1038"/>
      <c r="L51" s="767">
        <f>L54+L108+L114</f>
        <v>212198400</v>
      </c>
    </row>
    <row r="52" spans="1:12" x14ac:dyDescent="0.25">
      <c r="A52" s="1056"/>
      <c r="B52" s="1121" t="s">
        <v>71</v>
      </c>
      <c r="C52" s="1085" t="s">
        <v>180</v>
      </c>
      <c r="D52" s="766" t="s">
        <v>225</v>
      </c>
      <c r="E52" s="364">
        <f>E53+E54</f>
        <v>209514460.36000001</v>
      </c>
      <c r="F52" s="347">
        <f>F53+F54</f>
        <v>109830845.29000001</v>
      </c>
      <c r="G52" s="976"/>
      <c r="H52" s="976"/>
      <c r="I52" s="976"/>
      <c r="J52" s="1097"/>
      <c r="K52" s="1103"/>
      <c r="L52" s="353">
        <f>L53+L54</f>
        <v>209514460.36000001</v>
      </c>
    </row>
    <row r="53" spans="1:12" x14ac:dyDescent="0.25">
      <c r="A53" s="1056"/>
      <c r="B53" s="1122"/>
      <c r="C53" s="1085"/>
      <c r="D53" s="856" t="s">
        <v>283</v>
      </c>
      <c r="E53" s="316">
        <f>E56+E80+E104</f>
        <v>209514460.36000001</v>
      </c>
      <c r="F53" s="771">
        <f>F56+F80+F104</f>
        <v>109830845.29000001</v>
      </c>
      <c r="G53" s="977"/>
      <c r="H53" s="977"/>
      <c r="I53" s="977"/>
      <c r="J53" s="1098"/>
      <c r="K53" s="1104"/>
      <c r="L53" s="145">
        <f>L56+L80+L104</f>
        <v>209514460.36000001</v>
      </c>
    </row>
    <row r="54" spans="1:12" ht="15.75" thickBot="1" x14ac:dyDescent="0.3">
      <c r="A54" s="1056"/>
      <c r="B54" s="1123"/>
      <c r="C54" s="1085"/>
      <c r="D54" s="857" t="s">
        <v>282</v>
      </c>
      <c r="E54" s="321">
        <f>E57+E81+E105</f>
        <v>0</v>
      </c>
      <c r="F54" s="772">
        <f>F57+F81+F105</f>
        <v>0</v>
      </c>
      <c r="G54" s="978"/>
      <c r="H54" s="978"/>
      <c r="I54" s="978"/>
      <c r="J54" s="1099"/>
      <c r="K54" s="1105"/>
      <c r="L54" s="483">
        <f>L57+L81+L105</f>
        <v>0</v>
      </c>
    </row>
    <row r="55" spans="1:12" ht="20.25" customHeight="1" x14ac:dyDescent="0.25">
      <c r="A55" s="1056"/>
      <c r="B55" s="1240" t="s">
        <v>39</v>
      </c>
      <c r="C55" s="976" t="s">
        <v>180</v>
      </c>
      <c r="D55" s="766" t="s">
        <v>225</v>
      </c>
      <c r="E55" s="349">
        <f>E56+E57</f>
        <v>52619325.060000002</v>
      </c>
      <c r="F55" s="343">
        <f>F56+F57</f>
        <v>23766288.52</v>
      </c>
      <c r="G55" s="1055" t="s">
        <v>445</v>
      </c>
      <c r="H55" s="1118" t="s">
        <v>354</v>
      </c>
      <c r="I55" s="1055" t="s">
        <v>357</v>
      </c>
      <c r="J55" s="1097">
        <v>200</v>
      </c>
      <c r="K55" s="1103">
        <v>205.5</v>
      </c>
      <c r="L55" s="486">
        <f>L56+L57</f>
        <v>52619325.060000002</v>
      </c>
    </row>
    <row r="56" spans="1:12" ht="18" customHeight="1" x14ac:dyDescent="0.25">
      <c r="A56" s="1056"/>
      <c r="B56" s="1241"/>
      <c r="C56" s="977"/>
      <c r="D56" s="891" t="s">
        <v>283</v>
      </c>
      <c r="E56" s="900">
        <v>52619325.060000002</v>
      </c>
      <c r="F56" s="470">
        <v>23766288.52</v>
      </c>
      <c r="G56" s="1056"/>
      <c r="H56" s="1119"/>
      <c r="I56" s="1056"/>
      <c r="J56" s="1098"/>
      <c r="K56" s="1104"/>
      <c r="L56" s="468">
        <v>52619325.060000002</v>
      </c>
    </row>
    <row r="57" spans="1:12" ht="19.5" customHeight="1" thickBot="1" x14ac:dyDescent="0.3">
      <c r="A57" s="1056"/>
      <c r="B57" s="1241"/>
      <c r="C57" s="977"/>
      <c r="D57" s="831" t="s">
        <v>282</v>
      </c>
      <c r="E57" s="901">
        <f>0</f>
        <v>0</v>
      </c>
      <c r="F57" s="333">
        <v>0</v>
      </c>
      <c r="G57" s="1056"/>
      <c r="H57" s="1119"/>
      <c r="I57" s="1056"/>
      <c r="J57" s="1098"/>
      <c r="K57" s="1104"/>
      <c r="L57" s="487">
        <v>0</v>
      </c>
    </row>
    <row r="58" spans="1:12" ht="25.5" customHeight="1" x14ac:dyDescent="0.25">
      <c r="A58" s="1056"/>
      <c r="B58" s="1241"/>
      <c r="C58" s="977"/>
      <c r="D58" s="966"/>
      <c r="E58" s="1243"/>
      <c r="F58" s="1042"/>
      <c r="G58" s="1056"/>
      <c r="H58" s="1119"/>
      <c r="I58" s="1056"/>
      <c r="J58" s="1098"/>
      <c r="K58" s="1104"/>
      <c r="L58" s="1270"/>
    </row>
    <row r="59" spans="1:12" ht="25.5" customHeight="1" x14ac:dyDescent="0.25">
      <c r="A59" s="1056"/>
      <c r="B59" s="1241"/>
      <c r="C59" s="977"/>
      <c r="D59" s="1048"/>
      <c r="E59" s="1244"/>
      <c r="F59" s="1043"/>
      <c r="G59" s="1056"/>
      <c r="H59" s="1119"/>
      <c r="I59" s="1056"/>
      <c r="J59" s="1098"/>
      <c r="K59" s="1104"/>
      <c r="L59" s="1274"/>
    </row>
    <row r="60" spans="1:12" ht="25.5" customHeight="1" x14ac:dyDescent="0.25">
      <c r="A60" s="1056"/>
      <c r="B60" s="1241"/>
      <c r="C60" s="977"/>
      <c r="D60" s="1048"/>
      <c r="E60" s="1244"/>
      <c r="F60" s="1043"/>
      <c r="G60" s="1056"/>
      <c r="H60" s="1119"/>
      <c r="I60" s="1056"/>
      <c r="J60" s="1098"/>
      <c r="K60" s="1104"/>
      <c r="L60" s="1274"/>
    </row>
    <row r="61" spans="1:12" ht="25.5" customHeight="1" x14ac:dyDescent="0.25">
      <c r="A61" s="1056"/>
      <c r="B61" s="1241"/>
      <c r="C61" s="977"/>
      <c r="D61" s="1048"/>
      <c r="E61" s="1244"/>
      <c r="F61" s="1043"/>
      <c r="G61" s="1056"/>
      <c r="H61" s="1119"/>
      <c r="I61" s="1056"/>
      <c r="J61" s="1098"/>
      <c r="K61" s="1104"/>
      <c r="L61" s="1274"/>
    </row>
    <row r="62" spans="1:12" ht="25.5" customHeight="1" x14ac:dyDescent="0.25">
      <c r="A62" s="1056"/>
      <c r="B62" s="1241"/>
      <c r="C62" s="977"/>
      <c r="D62" s="1048"/>
      <c r="E62" s="1244"/>
      <c r="F62" s="1043"/>
      <c r="G62" s="1056"/>
      <c r="H62" s="1119"/>
      <c r="I62" s="1056"/>
      <c r="J62" s="1098"/>
      <c r="K62" s="1104"/>
      <c r="L62" s="1274"/>
    </row>
    <row r="63" spans="1:12" ht="25.5" customHeight="1" x14ac:dyDescent="0.25">
      <c r="A63" s="1056"/>
      <c r="B63" s="1241"/>
      <c r="C63" s="977"/>
      <c r="D63" s="1048"/>
      <c r="E63" s="1244"/>
      <c r="F63" s="1043"/>
      <c r="G63" s="1056"/>
      <c r="H63" s="1119"/>
      <c r="I63" s="1056"/>
      <c r="J63" s="1098"/>
      <c r="K63" s="1104"/>
      <c r="L63" s="1274"/>
    </row>
    <row r="64" spans="1:12" ht="25.5" customHeight="1" x14ac:dyDescent="0.25">
      <c r="A64" s="1056"/>
      <c r="B64" s="1241"/>
      <c r="C64" s="977"/>
      <c r="D64" s="1048"/>
      <c r="E64" s="1244"/>
      <c r="F64" s="1043"/>
      <c r="G64" s="1056"/>
      <c r="H64" s="1119"/>
      <c r="I64" s="1056"/>
      <c r="J64" s="1098"/>
      <c r="K64" s="1104"/>
      <c r="L64" s="1274"/>
    </row>
    <row r="65" spans="1:12" ht="25.5" customHeight="1" x14ac:dyDescent="0.25">
      <c r="A65" s="1056"/>
      <c r="B65" s="1241"/>
      <c r="C65" s="977"/>
      <c r="D65" s="1048"/>
      <c r="E65" s="1244"/>
      <c r="F65" s="1043"/>
      <c r="G65" s="1056"/>
      <c r="H65" s="1134"/>
      <c r="I65" s="1278"/>
      <c r="J65" s="1174"/>
      <c r="K65" s="1279"/>
      <c r="L65" s="1274"/>
    </row>
    <row r="66" spans="1:12" ht="25.5" customHeight="1" x14ac:dyDescent="0.25">
      <c r="A66" s="1056"/>
      <c r="B66" s="1241"/>
      <c r="C66" s="977"/>
      <c r="D66" s="1048"/>
      <c r="E66" s="1244"/>
      <c r="F66" s="1043"/>
      <c r="G66" s="1056"/>
      <c r="H66" s="1272" t="s">
        <v>355</v>
      </c>
      <c r="I66" s="1273" t="s">
        <v>357</v>
      </c>
      <c r="J66" s="1154">
        <v>100</v>
      </c>
      <c r="K66" s="1280">
        <v>106.2</v>
      </c>
      <c r="L66" s="1274"/>
    </row>
    <row r="67" spans="1:12" ht="25.5" customHeight="1" x14ac:dyDescent="0.25">
      <c r="A67" s="1056"/>
      <c r="B67" s="1241"/>
      <c r="C67" s="977"/>
      <c r="D67" s="1048"/>
      <c r="E67" s="1244"/>
      <c r="F67" s="1043"/>
      <c r="G67" s="1056"/>
      <c r="H67" s="1272"/>
      <c r="I67" s="1273"/>
      <c r="J67" s="1154"/>
      <c r="K67" s="1280"/>
      <c r="L67" s="1274"/>
    </row>
    <row r="68" spans="1:12" ht="25.5" customHeight="1" x14ac:dyDescent="0.25">
      <c r="A68" s="1056"/>
      <c r="B68" s="1241"/>
      <c r="C68" s="977"/>
      <c r="D68" s="1048"/>
      <c r="E68" s="1244"/>
      <c r="F68" s="1043"/>
      <c r="G68" s="1056"/>
      <c r="H68" s="1272"/>
      <c r="I68" s="1273"/>
      <c r="J68" s="1154"/>
      <c r="K68" s="1280"/>
      <c r="L68" s="1274"/>
    </row>
    <row r="69" spans="1:12" ht="25.5" customHeight="1" x14ac:dyDescent="0.25">
      <c r="A69" s="1056"/>
      <c r="B69" s="1241"/>
      <c r="C69" s="977"/>
      <c r="D69" s="1048"/>
      <c r="E69" s="1244"/>
      <c r="F69" s="1043"/>
      <c r="G69" s="1056"/>
      <c r="H69" s="1272"/>
      <c r="I69" s="1273"/>
      <c r="J69" s="1154"/>
      <c r="K69" s="1280"/>
      <c r="L69" s="1274"/>
    </row>
    <row r="70" spans="1:12" ht="25.5" customHeight="1" x14ac:dyDescent="0.25">
      <c r="A70" s="1056"/>
      <c r="B70" s="1241"/>
      <c r="C70" s="977"/>
      <c r="D70" s="1048"/>
      <c r="E70" s="1244"/>
      <c r="F70" s="1043"/>
      <c r="G70" s="1056"/>
      <c r="H70" s="1272"/>
      <c r="I70" s="1273"/>
      <c r="J70" s="1154"/>
      <c r="K70" s="1280"/>
      <c r="L70" s="1274"/>
    </row>
    <row r="71" spans="1:12" ht="25.5" customHeight="1" x14ac:dyDescent="0.25">
      <c r="A71" s="1056"/>
      <c r="B71" s="1241"/>
      <c r="C71" s="977"/>
      <c r="D71" s="1048"/>
      <c r="E71" s="1244"/>
      <c r="F71" s="1043"/>
      <c r="G71" s="1056"/>
      <c r="H71" s="1272"/>
      <c r="I71" s="1273"/>
      <c r="J71" s="1154"/>
      <c r="K71" s="1280"/>
      <c r="L71" s="1274"/>
    </row>
    <row r="72" spans="1:12" ht="25.5" customHeight="1" x14ac:dyDescent="0.25">
      <c r="A72" s="1056"/>
      <c r="B72" s="1241"/>
      <c r="C72" s="977"/>
      <c r="D72" s="1048"/>
      <c r="E72" s="1244"/>
      <c r="F72" s="1043"/>
      <c r="G72" s="1056"/>
      <c r="H72" s="1272"/>
      <c r="I72" s="1273"/>
      <c r="J72" s="1154"/>
      <c r="K72" s="1280"/>
      <c r="L72" s="1274"/>
    </row>
    <row r="73" spans="1:12" ht="25.5" customHeight="1" x14ac:dyDescent="0.25">
      <c r="A73" s="1056"/>
      <c r="B73" s="1241"/>
      <c r="C73" s="977"/>
      <c r="D73" s="1048"/>
      <c r="E73" s="1244"/>
      <c r="F73" s="1043"/>
      <c r="G73" s="1056"/>
      <c r="H73" s="1133" t="s">
        <v>356</v>
      </c>
      <c r="I73" s="1276" t="s">
        <v>357</v>
      </c>
      <c r="J73" s="1167">
        <v>100</v>
      </c>
      <c r="K73" s="1277">
        <v>101.9</v>
      </c>
      <c r="L73" s="1274"/>
    </row>
    <row r="74" spans="1:12" ht="25.5" customHeight="1" x14ac:dyDescent="0.25">
      <c r="A74" s="1056"/>
      <c r="B74" s="1241"/>
      <c r="C74" s="977"/>
      <c r="D74" s="1048"/>
      <c r="E74" s="1244"/>
      <c r="F74" s="1043"/>
      <c r="G74" s="1056"/>
      <c r="H74" s="1119"/>
      <c r="I74" s="1056"/>
      <c r="J74" s="1098"/>
      <c r="K74" s="1104"/>
      <c r="L74" s="1274"/>
    </row>
    <row r="75" spans="1:12" ht="25.5" customHeight="1" x14ac:dyDescent="0.25">
      <c r="A75" s="1056"/>
      <c r="B75" s="1241"/>
      <c r="C75" s="977"/>
      <c r="D75" s="1048"/>
      <c r="E75" s="1244"/>
      <c r="F75" s="1043"/>
      <c r="G75" s="1056"/>
      <c r="H75" s="1119"/>
      <c r="I75" s="1056"/>
      <c r="J75" s="1098"/>
      <c r="K75" s="1104"/>
      <c r="L75" s="1274"/>
    </row>
    <row r="76" spans="1:12" ht="25.5" customHeight="1" x14ac:dyDescent="0.25">
      <c r="A76" s="1056"/>
      <c r="B76" s="1241"/>
      <c r="C76" s="977"/>
      <c r="D76" s="1048"/>
      <c r="E76" s="1244"/>
      <c r="F76" s="1043"/>
      <c r="G76" s="1056"/>
      <c r="H76" s="1119"/>
      <c r="I76" s="1056"/>
      <c r="J76" s="1098"/>
      <c r="K76" s="1104"/>
      <c r="L76" s="1274"/>
    </row>
    <row r="77" spans="1:12" ht="25.5" customHeight="1" x14ac:dyDescent="0.25">
      <c r="A77" s="1056"/>
      <c r="B77" s="1241"/>
      <c r="C77" s="977"/>
      <c r="D77" s="1048"/>
      <c r="E77" s="1244"/>
      <c r="F77" s="1043"/>
      <c r="G77" s="1056"/>
      <c r="H77" s="1119"/>
      <c r="I77" s="1056"/>
      <c r="J77" s="1098"/>
      <c r="K77" s="1104"/>
      <c r="L77" s="1274"/>
    </row>
    <row r="78" spans="1:12" ht="25.5" customHeight="1" thickBot="1" x14ac:dyDescent="0.3">
      <c r="A78" s="1056"/>
      <c r="B78" s="1242"/>
      <c r="C78" s="978"/>
      <c r="D78" s="967"/>
      <c r="E78" s="1245"/>
      <c r="F78" s="1044"/>
      <c r="G78" s="1057"/>
      <c r="H78" s="1120"/>
      <c r="I78" s="1057"/>
      <c r="J78" s="1099"/>
      <c r="K78" s="1105"/>
      <c r="L78" s="1271"/>
    </row>
    <row r="79" spans="1:12" ht="25.5" x14ac:dyDescent="0.25">
      <c r="A79" s="1056"/>
      <c r="B79" s="1052" t="s">
        <v>40</v>
      </c>
      <c r="C79" s="976" t="s">
        <v>180</v>
      </c>
      <c r="D79" s="766" t="s">
        <v>225</v>
      </c>
      <c r="E79" s="349">
        <f>E80+E81</f>
        <v>133438603.8</v>
      </c>
      <c r="F79" s="343">
        <f>F80+F81</f>
        <v>62608025.270000003</v>
      </c>
      <c r="G79" s="976" t="s">
        <v>445</v>
      </c>
      <c r="H79" s="75" t="s">
        <v>531</v>
      </c>
      <c r="I79" s="841" t="s">
        <v>359</v>
      </c>
      <c r="J79" s="902">
        <f>J80+J81+J82+J83+J84</f>
        <v>641898</v>
      </c>
      <c r="K79" s="847">
        <f>K80+K81+K82+K83+K84</f>
        <v>322098</v>
      </c>
      <c r="L79" s="486">
        <f>L80+L81</f>
        <v>133438603.8</v>
      </c>
    </row>
    <row r="80" spans="1:12" ht="25.5" x14ac:dyDescent="0.25">
      <c r="A80" s="1056"/>
      <c r="B80" s="1053"/>
      <c r="C80" s="977"/>
      <c r="D80" s="856" t="s">
        <v>283</v>
      </c>
      <c r="E80" s="350">
        <v>133438603.8</v>
      </c>
      <c r="F80" s="331">
        <v>62608025.270000003</v>
      </c>
      <c r="G80" s="977"/>
      <c r="H80" s="49" t="s">
        <v>532</v>
      </c>
      <c r="I80" s="842" t="s">
        <v>359</v>
      </c>
      <c r="J80" s="845">
        <v>249595</v>
      </c>
      <c r="K80" s="820">
        <v>129481</v>
      </c>
      <c r="L80" s="467">
        <v>133438603.8</v>
      </c>
    </row>
    <row r="81" spans="1:12" ht="26.25" thickBot="1" x14ac:dyDescent="0.3">
      <c r="A81" s="1056"/>
      <c r="B81" s="1053"/>
      <c r="C81" s="977"/>
      <c r="D81" s="857" t="s">
        <v>282</v>
      </c>
      <c r="E81" s="351">
        <v>0</v>
      </c>
      <c r="F81" s="332">
        <v>0</v>
      </c>
      <c r="G81" s="977"/>
      <c r="H81" s="49" t="s">
        <v>533</v>
      </c>
      <c r="I81" s="842" t="s">
        <v>359</v>
      </c>
      <c r="J81" s="845">
        <v>190981</v>
      </c>
      <c r="K81" s="820">
        <v>91671</v>
      </c>
      <c r="L81" s="469">
        <v>0</v>
      </c>
    </row>
    <row r="82" spans="1:12" ht="25.5" x14ac:dyDescent="0.25">
      <c r="A82" s="1056"/>
      <c r="B82" s="1053"/>
      <c r="C82" s="977"/>
      <c r="D82" s="1048"/>
      <c r="E82" s="1097"/>
      <c r="F82" s="1139"/>
      <c r="G82" s="977"/>
      <c r="H82" s="49" t="s">
        <v>534</v>
      </c>
      <c r="I82" s="842" t="s">
        <v>359</v>
      </c>
      <c r="J82" s="845">
        <v>101400</v>
      </c>
      <c r="K82" s="820">
        <v>50701</v>
      </c>
      <c r="L82" s="1274"/>
    </row>
    <row r="83" spans="1:12" ht="25.5" x14ac:dyDescent="0.25">
      <c r="A83" s="1056"/>
      <c r="B83" s="1053"/>
      <c r="C83" s="977"/>
      <c r="D83" s="1048"/>
      <c r="E83" s="1098"/>
      <c r="F83" s="1139"/>
      <c r="G83" s="977"/>
      <c r="H83" s="49" t="s">
        <v>535</v>
      </c>
      <c r="I83" s="842" t="s">
        <v>359</v>
      </c>
      <c r="J83" s="845">
        <v>98955</v>
      </c>
      <c r="K83" s="848">
        <v>49762</v>
      </c>
      <c r="L83" s="1274"/>
    </row>
    <row r="84" spans="1:12" ht="25.5" x14ac:dyDescent="0.25">
      <c r="A84" s="1056"/>
      <c r="B84" s="1053"/>
      <c r="C84" s="977"/>
      <c r="D84" s="1048"/>
      <c r="E84" s="1098"/>
      <c r="F84" s="1139"/>
      <c r="G84" s="977"/>
      <c r="H84" s="49" t="s">
        <v>536</v>
      </c>
      <c r="I84" s="842" t="s">
        <v>359</v>
      </c>
      <c r="J84" s="845">
        <v>967</v>
      </c>
      <c r="K84" s="848">
        <v>483</v>
      </c>
      <c r="L84" s="1274"/>
    </row>
    <row r="85" spans="1:12" ht="47.25" customHeight="1" x14ac:dyDescent="0.25">
      <c r="A85" s="1056"/>
      <c r="B85" s="1053"/>
      <c r="C85" s="977"/>
      <c r="D85" s="1048"/>
      <c r="E85" s="1098"/>
      <c r="F85" s="1139"/>
      <c r="G85" s="977"/>
      <c r="H85" s="49" t="s">
        <v>525</v>
      </c>
      <c r="I85" s="842" t="s">
        <v>359</v>
      </c>
      <c r="J85" s="845">
        <f>SUM(J86:J90)</f>
        <v>233610</v>
      </c>
      <c r="K85" s="903">
        <f>SUM(K86:K90)</f>
        <v>105715</v>
      </c>
      <c r="L85" s="1274"/>
    </row>
    <row r="86" spans="1:12" ht="38.25" x14ac:dyDescent="0.25">
      <c r="A86" s="1056"/>
      <c r="B86" s="1053"/>
      <c r="C86" s="977"/>
      <c r="D86" s="1048"/>
      <c r="E86" s="1098"/>
      <c r="F86" s="1139"/>
      <c r="G86" s="977"/>
      <c r="H86" s="49" t="s">
        <v>526</v>
      </c>
      <c r="I86" s="842" t="s">
        <v>359</v>
      </c>
      <c r="J86" s="845">
        <v>70000</v>
      </c>
      <c r="K86" s="848">
        <v>25508</v>
      </c>
      <c r="L86" s="1274"/>
    </row>
    <row r="87" spans="1:12" ht="38.25" x14ac:dyDescent="0.25">
      <c r="A87" s="1056"/>
      <c r="B87" s="1053"/>
      <c r="C87" s="977"/>
      <c r="D87" s="1048"/>
      <c r="E87" s="1098"/>
      <c r="F87" s="1139"/>
      <c r="G87" s="977"/>
      <c r="H87" s="49" t="s">
        <v>527</v>
      </c>
      <c r="I87" s="842" t="s">
        <v>359</v>
      </c>
      <c r="J87" s="845">
        <v>82107</v>
      </c>
      <c r="K87" s="848">
        <v>39411</v>
      </c>
      <c r="L87" s="1274"/>
    </row>
    <row r="88" spans="1:12" ht="38.25" x14ac:dyDescent="0.25">
      <c r="A88" s="1056"/>
      <c r="B88" s="1053"/>
      <c r="C88" s="977"/>
      <c r="D88" s="1048"/>
      <c r="E88" s="1098"/>
      <c r="F88" s="1139"/>
      <c r="G88" s="977"/>
      <c r="H88" s="49" t="s">
        <v>528</v>
      </c>
      <c r="I88" s="842" t="s">
        <v>359</v>
      </c>
      <c r="J88" s="845">
        <v>53000</v>
      </c>
      <c r="K88" s="848">
        <v>26503</v>
      </c>
      <c r="L88" s="1274"/>
    </row>
    <row r="89" spans="1:12" ht="51" x14ac:dyDescent="0.25">
      <c r="A89" s="1056"/>
      <c r="B89" s="1053"/>
      <c r="C89" s="977"/>
      <c r="D89" s="1048"/>
      <c r="E89" s="1098"/>
      <c r="F89" s="1139"/>
      <c r="G89" s="977"/>
      <c r="H89" s="49" t="s">
        <v>529</v>
      </c>
      <c r="I89" s="842" t="s">
        <v>359</v>
      </c>
      <c r="J89" s="845">
        <v>27536</v>
      </c>
      <c r="K89" s="848">
        <v>13810</v>
      </c>
      <c r="L89" s="1274"/>
    </row>
    <row r="90" spans="1:12" ht="51" x14ac:dyDescent="0.25">
      <c r="A90" s="1056"/>
      <c r="B90" s="1053"/>
      <c r="C90" s="977"/>
      <c r="D90" s="1048"/>
      <c r="E90" s="1098"/>
      <c r="F90" s="1139"/>
      <c r="G90" s="977"/>
      <c r="H90" s="49" t="s">
        <v>530</v>
      </c>
      <c r="I90" s="842" t="s">
        <v>359</v>
      </c>
      <c r="J90" s="845">
        <v>967</v>
      </c>
      <c r="K90" s="848">
        <v>483</v>
      </c>
      <c r="L90" s="1274"/>
    </row>
    <row r="91" spans="1:12" ht="38.25" x14ac:dyDescent="0.25">
      <c r="A91" s="1056"/>
      <c r="B91" s="1053"/>
      <c r="C91" s="977"/>
      <c r="D91" s="1048"/>
      <c r="E91" s="1098"/>
      <c r="F91" s="1139"/>
      <c r="G91" s="977"/>
      <c r="H91" s="49" t="s">
        <v>537</v>
      </c>
      <c r="I91" s="842" t="s">
        <v>359</v>
      </c>
      <c r="J91" s="845">
        <f>SUM(J92:J95)</f>
        <v>408288</v>
      </c>
      <c r="K91" s="903">
        <f>SUM(K92:K95)</f>
        <v>216383</v>
      </c>
      <c r="L91" s="1274"/>
    </row>
    <row r="92" spans="1:12" ht="38.25" x14ac:dyDescent="0.25">
      <c r="A92" s="1056"/>
      <c r="B92" s="1053"/>
      <c r="C92" s="977"/>
      <c r="D92" s="1048"/>
      <c r="E92" s="1098"/>
      <c r="F92" s="1139"/>
      <c r="G92" s="977"/>
      <c r="H92" s="49" t="s">
        <v>538</v>
      </c>
      <c r="I92" s="842" t="s">
        <v>359</v>
      </c>
      <c r="J92" s="845">
        <v>179595</v>
      </c>
      <c r="K92" s="848">
        <v>103973</v>
      </c>
      <c r="L92" s="1274"/>
    </row>
    <row r="93" spans="1:12" ht="38.25" x14ac:dyDescent="0.25">
      <c r="A93" s="1056"/>
      <c r="B93" s="1053"/>
      <c r="C93" s="977"/>
      <c r="D93" s="1048"/>
      <c r="E93" s="1098"/>
      <c r="F93" s="1139"/>
      <c r="G93" s="977"/>
      <c r="H93" s="49" t="s">
        <v>539</v>
      </c>
      <c r="I93" s="842" t="s">
        <v>359</v>
      </c>
      <c r="J93" s="845">
        <v>108874</v>
      </c>
      <c r="K93" s="848">
        <v>52260</v>
      </c>
      <c r="L93" s="1274"/>
    </row>
    <row r="94" spans="1:12" ht="38.25" x14ac:dyDescent="0.25">
      <c r="A94" s="1056"/>
      <c r="B94" s="1053"/>
      <c r="C94" s="977"/>
      <c r="D94" s="1048"/>
      <c r="E94" s="1098"/>
      <c r="F94" s="1139"/>
      <c r="G94" s="977"/>
      <c r="H94" s="49" t="s">
        <v>540</v>
      </c>
      <c r="I94" s="842" t="s">
        <v>359</v>
      </c>
      <c r="J94" s="845">
        <v>48400</v>
      </c>
      <c r="K94" s="848">
        <v>24198</v>
      </c>
      <c r="L94" s="1274"/>
    </row>
    <row r="95" spans="1:12" ht="38.25" x14ac:dyDescent="0.25">
      <c r="A95" s="1056"/>
      <c r="B95" s="1053"/>
      <c r="C95" s="977"/>
      <c r="D95" s="1048"/>
      <c r="E95" s="1098"/>
      <c r="F95" s="1139"/>
      <c r="G95" s="977"/>
      <c r="H95" s="49" t="s">
        <v>541</v>
      </c>
      <c r="I95" s="842" t="s">
        <v>359</v>
      </c>
      <c r="J95" s="845">
        <v>71419</v>
      </c>
      <c r="K95" s="848">
        <v>35952</v>
      </c>
      <c r="L95" s="1274"/>
    </row>
    <row r="96" spans="1:12" ht="38.25" x14ac:dyDescent="0.25">
      <c r="A96" s="1056"/>
      <c r="B96" s="1053"/>
      <c r="C96" s="977"/>
      <c r="D96" s="1048"/>
      <c r="E96" s="1098"/>
      <c r="F96" s="1139"/>
      <c r="G96" s="977"/>
      <c r="H96" s="49" t="s">
        <v>542</v>
      </c>
      <c r="I96" s="842" t="s">
        <v>359</v>
      </c>
      <c r="J96" s="845">
        <f>SUM(J97:J100)</f>
        <v>145858</v>
      </c>
      <c r="K96" s="903">
        <f>SUM(K97:K100)</f>
        <v>79582</v>
      </c>
      <c r="L96" s="1274"/>
    </row>
    <row r="97" spans="1:12" ht="38.25" x14ac:dyDescent="0.25">
      <c r="A97" s="1056"/>
      <c r="B97" s="1053"/>
      <c r="C97" s="977"/>
      <c r="D97" s="1048"/>
      <c r="E97" s="1098"/>
      <c r="F97" s="1139"/>
      <c r="G97" s="977"/>
      <c r="H97" s="49" t="s">
        <v>543</v>
      </c>
      <c r="I97" s="842" t="s">
        <v>359</v>
      </c>
      <c r="J97" s="845">
        <v>85521</v>
      </c>
      <c r="K97" s="848">
        <v>49509</v>
      </c>
      <c r="L97" s="1274"/>
    </row>
    <row r="98" spans="1:12" ht="38.25" x14ac:dyDescent="0.25">
      <c r="A98" s="1056"/>
      <c r="B98" s="1053"/>
      <c r="C98" s="977"/>
      <c r="D98" s="1048"/>
      <c r="E98" s="1098"/>
      <c r="F98" s="1139"/>
      <c r="G98" s="977"/>
      <c r="H98" s="49" t="s">
        <v>544</v>
      </c>
      <c r="I98" s="842" t="s">
        <v>359</v>
      </c>
      <c r="J98" s="845">
        <v>10887</v>
      </c>
      <c r="K98" s="848">
        <v>5226</v>
      </c>
      <c r="L98" s="1274"/>
    </row>
    <row r="99" spans="1:12" ht="38.25" x14ac:dyDescent="0.25">
      <c r="A99" s="1056"/>
      <c r="B99" s="1053"/>
      <c r="C99" s="977"/>
      <c r="D99" s="1048"/>
      <c r="E99" s="1098"/>
      <c r="F99" s="1139"/>
      <c r="G99" s="977"/>
      <c r="H99" s="49" t="s">
        <v>545</v>
      </c>
      <c r="I99" s="842" t="s">
        <v>359</v>
      </c>
      <c r="J99" s="845">
        <v>23000</v>
      </c>
      <c r="K99" s="848">
        <v>11501</v>
      </c>
      <c r="L99" s="1274"/>
    </row>
    <row r="100" spans="1:12" ht="38.25" x14ac:dyDescent="0.25">
      <c r="A100" s="1056"/>
      <c r="B100" s="1053"/>
      <c r="C100" s="977"/>
      <c r="D100" s="1048"/>
      <c r="E100" s="1098"/>
      <c r="F100" s="1139"/>
      <c r="G100" s="977"/>
      <c r="H100" s="49" t="s">
        <v>546</v>
      </c>
      <c r="I100" s="842" t="s">
        <v>359</v>
      </c>
      <c r="J100" s="845">
        <v>26450</v>
      </c>
      <c r="K100" s="848">
        <v>13346</v>
      </c>
      <c r="L100" s="1274"/>
    </row>
    <row r="101" spans="1:12" ht="69.75" customHeight="1" x14ac:dyDescent="0.25">
      <c r="A101" s="1056"/>
      <c r="B101" s="1053"/>
      <c r="C101" s="977"/>
      <c r="D101" s="1048"/>
      <c r="E101" s="1098"/>
      <c r="F101" s="1139"/>
      <c r="G101" s="977"/>
      <c r="H101" s="49" t="s">
        <v>446</v>
      </c>
      <c r="I101" s="842" t="s">
        <v>357</v>
      </c>
      <c r="J101" s="845">
        <v>100</v>
      </c>
      <c r="K101" s="848">
        <v>100</v>
      </c>
      <c r="L101" s="1274"/>
    </row>
    <row r="102" spans="1:12" ht="45" customHeight="1" thickBot="1" x14ac:dyDescent="0.3">
      <c r="A102" s="1056"/>
      <c r="B102" s="1054"/>
      <c r="C102" s="978"/>
      <c r="D102" s="967"/>
      <c r="E102" s="1099"/>
      <c r="F102" s="1140"/>
      <c r="G102" s="978"/>
      <c r="H102" s="142" t="s">
        <v>358</v>
      </c>
      <c r="I102" s="843" t="s">
        <v>357</v>
      </c>
      <c r="J102" s="846">
        <v>52</v>
      </c>
      <c r="K102" s="904">
        <v>52</v>
      </c>
      <c r="L102" s="1271"/>
    </row>
    <row r="103" spans="1:12" ht="24" customHeight="1" x14ac:dyDescent="0.25">
      <c r="A103" s="1056"/>
      <c r="B103" s="1053" t="s">
        <v>593</v>
      </c>
      <c r="C103" s="976" t="s">
        <v>180</v>
      </c>
      <c r="D103" s="897" t="s">
        <v>225</v>
      </c>
      <c r="E103" s="898">
        <f>E104+E105</f>
        <v>23456531.5</v>
      </c>
      <c r="F103" s="343">
        <f>F104+F105</f>
        <v>23456531.5</v>
      </c>
      <c r="G103" s="976" t="s">
        <v>662</v>
      </c>
      <c r="H103" s="1118" t="s">
        <v>360</v>
      </c>
      <c r="I103" s="1055" t="s">
        <v>357</v>
      </c>
      <c r="J103" s="1097">
        <v>88</v>
      </c>
      <c r="K103" s="1138">
        <v>39</v>
      </c>
      <c r="L103" s="486">
        <f>L104+L105</f>
        <v>23456531.5</v>
      </c>
    </row>
    <row r="104" spans="1:12" ht="24" customHeight="1" x14ac:dyDescent="0.25">
      <c r="A104" s="1056"/>
      <c r="B104" s="1053"/>
      <c r="C104" s="977"/>
      <c r="D104" s="856" t="s">
        <v>283</v>
      </c>
      <c r="E104" s="350">
        <v>23456531.5</v>
      </c>
      <c r="F104" s="331">
        <v>23456531.5</v>
      </c>
      <c r="G104" s="977"/>
      <c r="H104" s="1119"/>
      <c r="I104" s="1056"/>
      <c r="J104" s="1098"/>
      <c r="K104" s="1139"/>
      <c r="L104" s="467">
        <v>23456531.5</v>
      </c>
    </row>
    <row r="105" spans="1:12" ht="24" customHeight="1" thickBot="1" x14ac:dyDescent="0.3">
      <c r="A105" s="1056"/>
      <c r="B105" s="1054"/>
      <c r="C105" s="978"/>
      <c r="D105" s="857" t="s">
        <v>282</v>
      </c>
      <c r="E105" s="351">
        <v>0</v>
      </c>
      <c r="F105" s="332">
        <v>0</v>
      </c>
      <c r="G105" s="978"/>
      <c r="H105" s="1120"/>
      <c r="I105" s="1057"/>
      <c r="J105" s="1099"/>
      <c r="K105" s="1140"/>
      <c r="L105" s="469">
        <v>0</v>
      </c>
    </row>
    <row r="106" spans="1:12" x14ac:dyDescent="0.25">
      <c r="A106" s="1056"/>
      <c r="B106" s="1121" t="s">
        <v>72</v>
      </c>
      <c r="C106" s="976"/>
      <c r="D106" s="766" t="s">
        <v>225</v>
      </c>
      <c r="E106" s="364">
        <f>E107+E108</f>
        <v>24736455</v>
      </c>
      <c r="F106" s="347">
        <f>F107+F108</f>
        <v>8552433.8000000007</v>
      </c>
      <c r="G106" s="976"/>
      <c r="H106" s="976"/>
      <c r="I106" s="1270"/>
      <c r="J106" s="1097"/>
      <c r="K106" s="1103"/>
      <c r="L106" s="353">
        <f>L107+L108</f>
        <v>24736455</v>
      </c>
    </row>
    <row r="107" spans="1:12" x14ac:dyDescent="0.25">
      <c r="A107" s="1056"/>
      <c r="B107" s="1122"/>
      <c r="C107" s="977"/>
      <c r="D107" s="856" t="s">
        <v>283</v>
      </c>
      <c r="E107" s="316">
        <f>E110</f>
        <v>24736455</v>
      </c>
      <c r="F107" s="771">
        <f>F110</f>
        <v>8552433.8000000007</v>
      </c>
      <c r="G107" s="977"/>
      <c r="H107" s="977"/>
      <c r="I107" s="1274"/>
      <c r="J107" s="1098"/>
      <c r="K107" s="1104"/>
      <c r="L107" s="145">
        <f>L110</f>
        <v>24736455</v>
      </c>
    </row>
    <row r="108" spans="1:12" ht="15.75" thickBot="1" x14ac:dyDescent="0.3">
      <c r="A108" s="1056"/>
      <c r="B108" s="1123"/>
      <c r="C108" s="978"/>
      <c r="D108" s="857" t="s">
        <v>282</v>
      </c>
      <c r="E108" s="321">
        <f>E111</f>
        <v>0</v>
      </c>
      <c r="F108" s="772">
        <f>F111</f>
        <v>0</v>
      </c>
      <c r="G108" s="978"/>
      <c r="H108" s="978"/>
      <c r="I108" s="1271"/>
      <c r="J108" s="1099"/>
      <c r="K108" s="1105"/>
      <c r="L108" s="483">
        <f>L111</f>
        <v>0</v>
      </c>
    </row>
    <row r="109" spans="1:12" ht="57.75" customHeight="1" x14ac:dyDescent="0.25">
      <c r="A109" s="1056"/>
      <c r="B109" s="1053" t="s">
        <v>568</v>
      </c>
      <c r="C109" s="976" t="s">
        <v>180</v>
      </c>
      <c r="D109" s="897" t="s">
        <v>225</v>
      </c>
      <c r="E109" s="898">
        <f>E110+E111</f>
        <v>24736455</v>
      </c>
      <c r="F109" s="899">
        <f>F110+F111</f>
        <v>8552433.8000000007</v>
      </c>
      <c r="G109" s="976" t="s">
        <v>445</v>
      </c>
      <c r="H109" s="1118" t="s">
        <v>361</v>
      </c>
      <c r="I109" s="1055" t="s">
        <v>362</v>
      </c>
      <c r="J109" s="1097">
        <v>52997</v>
      </c>
      <c r="K109" s="1138">
        <v>14260</v>
      </c>
      <c r="L109" s="768">
        <f>L110+L111</f>
        <v>24736455</v>
      </c>
    </row>
    <row r="110" spans="1:12" ht="57.75" customHeight="1" x14ac:dyDescent="0.25">
      <c r="A110" s="1056"/>
      <c r="B110" s="1053"/>
      <c r="C110" s="977"/>
      <c r="D110" s="856" t="s">
        <v>283</v>
      </c>
      <c r="E110" s="316">
        <v>24736455</v>
      </c>
      <c r="F110" s="331">
        <v>8552433.8000000007</v>
      </c>
      <c r="G110" s="977"/>
      <c r="H110" s="1119"/>
      <c r="I110" s="1056"/>
      <c r="J110" s="1098"/>
      <c r="K110" s="1139"/>
      <c r="L110" s="467">
        <v>24736455</v>
      </c>
    </row>
    <row r="111" spans="1:12" ht="57.75" customHeight="1" thickBot="1" x14ac:dyDescent="0.3">
      <c r="A111" s="1056"/>
      <c r="B111" s="1053"/>
      <c r="C111" s="978"/>
      <c r="D111" s="769" t="s">
        <v>282</v>
      </c>
      <c r="E111" s="747">
        <f>0</f>
        <v>0</v>
      </c>
      <c r="F111" s="895">
        <v>0</v>
      </c>
      <c r="G111" s="978"/>
      <c r="H111" s="1120"/>
      <c r="I111" s="1057"/>
      <c r="J111" s="1099"/>
      <c r="K111" s="1140"/>
      <c r="L111" s="770">
        <v>0</v>
      </c>
    </row>
    <row r="112" spans="1:12" ht="18" customHeight="1" x14ac:dyDescent="0.25">
      <c r="A112" s="1056"/>
      <c r="B112" s="1121" t="s">
        <v>73</v>
      </c>
      <c r="C112" s="976"/>
      <c r="D112" s="766" t="s">
        <v>225</v>
      </c>
      <c r="E112" s="364">
        <f>E113+E114</f>
        <v>230487000</v>
      </c>
      <c r="F112" s="347">
        <f>F113+F114</f>
        <v>102913506.94</v>
      </c>
      <c r="G112" s="976"/>
      <c r="H112" s="976"/>
      <c r="I112" s="1055"/>
      <c r="J112" s="1097"/>
      <c r="K112" s="1103"/>
      <c r="L112" s="353">
        <f>L113+L114</f>
        <v>212198400</v>
      </c>
    </row>
    <row r="113" spans="1:12" ht="18" customHeight="1" x14ac:dyDescent="0.25">
      <c r="A113" s="1056"/>
      <c r="B113" s="1122"/>
      <c r="C113" s="977"/>
      <c r="D113" s="856" t="s">
        <v>283</v>
      </c>
      <c r="E113" s="316">
        <f>E116+E119</f>
        <v>0</v>
      </c>
      <c r="F113" s="771">
        <f>F116+F119</f>
        <v>0</v>
      </c>
      <c r="G113" s="977"/>
      <c r="H113" s="977"/>
      <c r="I113" s="1056"/>
      <c r="J113" s="1098"/>
      <c r="K113" s="1104"/>
      <c r="L113" s="145">
        <f>L116+L119</f>
        <v>0</v>
      </c>
    </row>
    <row r="114" spans="1:12" ht="18" customHeight="1" thickBot="1" x14ac:dyDescent="0.3">
      <c r="A114" s="1056"/>
      <c r="B114" s="1123"/>
      <c r="C114" s="978"/>
      <c r="D114" s="857" t="s">
        <v>282</v>
      </c>
      <c r="E114" s="321">
        <f>E117+E120</f>
        <v>230487000</v>
      </c>
      <c r="F114" s="772">
        <f>F117+F120</f>
        <v>102913506.94</v>
      </c>
      <c r="G114" s="978"/>
      <c r="H114" s="978"/>
      <c r="I114" s="1057"/>
      <c r="J114" s="1099"/>
      <c r="K114" s="1105"/>
      <c r="L114" s="487">
        <f>L117+L120</f>
        <v>212198400</v>
      </c>
    </row>
    <row r="115" spans="1:12" ht="95.25" customHeight="1" x14ac:dyDescent="0.25">
      <c r="A115" s="1056"/>
      <c r="B115" s="1052" t="s">
        <v>42</v>
      </c>
      <c r="C115" s="976" t="s">
        <v>180</v>
      </c>
      <c r="D115" s="766" t="s">
        <v>225</v>
      </c>
      <c r="E115" s="349">
        <f>E116+E117</f>
        <v>81089300</v>
      </c>
      <c r="F115" s="343">
        <f>F116+F117</f>
        <v>33615901.100000001</v>
      </c>
      <c r="G115" s="976" t="s">
        <v>445</v>
      </c>
      <c r="H115" s="1118" t="s">
        <v>444</v>
      </c>
      <c r="I115" s="1055" t="s">
        <v>363</v>
      </c>
      <c r="J115" s="1097">
        <v>18000</v>
      </c>
      <c r="K115" s="1127">
        <v>18619</v>
      </c>
      <c r="L115" s="486">
        <f>L116+L117</f>
        <v>62800700</v>
      </c>
    </row>
    <row r="116" spans="1:12" ht="95.25" customHeight="1" x14ac:dyDescent="0.25">
      <c r="A116" s="1056"/>
      <c r="B116" s="1053"/>
      <c r="C116" s="977"/>
      <c r="D116" s="856" t="s">
        <v>283</v>
      </c>
      <c r="E116" s="316">
        <f>0</f>
        <v>0</v>
      </c>
      <c r="F116" s="331">
        <v>0</v>
      </c>
      <c r="G116" s="977"/>
      <c r="H116" s="1119"/>
      <c r="I116" s="1056"/>
      <c r="J116" s="1098"/>
      <c r="K116" s="1128"/>
      <c r="L116" s="467">
        <v>0</v>
      </c>
    </row>
    <row r="117" spans="1:12" ht="95.25" customHeight="1" thickBot="1" x14ac:dyDescent="0.3">
      <c r="A117" s="1056"/>
      <c r="B117" s="1054"/>
      <c r="C117" s="978"/>
      <c r="D117" s="857" t="s">
        <v>282</v>
      </c>
      <c r="E117" s="321">
        <v>81089300</v>
      </c>
      <c r="F117" s="332">
        <v>33615901.100000001</v>
      </c>
      <c r="G117" s="978"/>
      <c r="H117" s="1120"/>
      <c r="I117" s="1057"/>
      <c r="J117" s="1099"/>
      <c r="K117" s="1129"/>
      <c r="L117" s="469">
        <v>62800700</v>
      </c>
    </row>
    <row r="118" spans="1:12" ht="99" customHeight="1" x14ac:dyDescent="0.25">
      <c r="A118" s="1056"/>
      <c r="B118" s="1053" t="s">
        <v>41</v>
      </c>
      <c r="C118" s="976"/>
      <c r="D118" s="897" t="s">
        <v>225</v>
      </c>
      <c r="E118" s="905">
        <f>E119+E120</f>
        <v>149397700</v>
      </c>
      <c r="F118" s="899">
        <f>F119+F120</f>
        <v>69297605.840000004</v>
      </c>
      <c r="G118" s="976"/>
      <c r="H118" s="1118" t="s">
        <v>444</v>
      </c>
      <c r="I118" s="976" t="s">
        <v>363</v>
      </c>
      <c r="J118" s="1106">
        <v>18000</v>
      </c>
      <c r="K118" s="1142">
        <v>18619</v>
      </c>
      <c r="L118" s="353">
        <f>L119+L120</f>
        <v>149397700</v>
      </c>
    </row>
    <row r="119" spans="1:12" ht="99" customHeight="1" x14ac:dyDescent="0.25">
      <c r="A119" s="1056"/>
      <c r="B119" s="1053"/>
      <c r="C119" s="977"/>
      <c r="D119" s="856" t="s">
        <v>283</v>
      </c>
      <c r="E119" s="316">
        <f>0</f>
        <v>0</v>
      </c>
      <c r="F119" s="331">
        <v>0</v>
      </c>
      <c r="G119" s="977"/>
      <c r="H119" s="1119"/>
      <c r="I119" s="977"/>
      <c r="J119" s="1107"/>
      <c r="K119" s="1143"/>
      <c r="L119" s="145">
        <v>0</v>
      </c>
    </row>
    <row r="120" spans="1:12" ht="99" customHeight="1" thickBot="1" x14ac:dyDescent="0.3">
      <c r="A120" s="1056"/>
      <c r="B120" s="1258"/>
      <c r="C120" s="977"/>
      <c r="D120" s="856" t="s">
        <v>282</v>
      </c>
      <c r="E120" s="316">
        <v>149397700</v>
      </c>
      <c r="F120" s="331">
        <v>69297605.840000004</v>
      </c>
      <c r="G120" s="978"/>
      <c r="H120" s="1120"/>
      <c r="I120" s="978"/>
      <c r="J120" s="1275"/>
      <c r="K120" s="1283"/>
      <c r="L120" s="352">
        <v>149397700</v>
      </c>
    </row>
    <row r="121" spans="1:12" s="1" customFormat="1" x14ac:dyDescent="0.25">
      <c r="A121" s="970"/>
      <c r="B121" s="1231" t="s">
        <v>74</v>
      </c>
      <c r="C121" s="1002" t="s">
        <v>180</v>
      </c>
      <c r="D121" s="865" t="s">
        <v>225</v>
      </c>
      <c r="E121" s="365">
        <f>E122+E123</f>
        <v>1011884310.5899999</v>
      </c>
      <c r="F121" s="797">
        <f>F122+F123</f>
        <v>460138079.58999997</v>
      </c>
      <c r="G121" s="1002"/>
      <c r="H121" s="1002"/>
      <c r="I121" s="1002"/>
      <c r="J121" s="1067"/>
      <c r="K121" s="1148"/>
      <c r="L121" s="484">
        <f>L122+L123</f>
        <v>1011884310.5899999</v>
      </c>
    </row>
    <row r="122" spans="1:12" s="1" customFormat="1" x14ac:dyDescent="0.25">
      <c r="A122" s="971"/>
      <c r="B122" s="1232"/>
      <c r="C122" s="1003"/>
      <c r="D122" s="869" t="s">
        <v>283</v>
      </c>
      <c r="E122" s="366">
        <f>E125+E182+E209+E224</f>
        <v>972277410.58999991</v>
      </c>
      <c r="F122" s="773">
        <f>F125+F182+F209+F224</f>
        <v>452233330.42999995</v>
      </c>
      <c r="G122" s="1003"/>
      <c r="H122" s="1003"/>
      <c r="I122" s="1003"/>
      <c r="J122" s="1068"/>
      <c r="K122" s="1149"/>
      <c r="L122" s="485">
        <f>L125+L182+L209+L224</f>
        <v>972277410.58999991</v>
      </c>
    </row>
    <row r="123" spans="1:12" s="1" customFormat="1" ht="15.75" thickBot="1" x14ac:dyDescent="0.3">
      <c r="A123" s="971"/>
      <c r="B123" s="1233"/>
      <c r="C123" s="1004"/>
      <c r="D123" s="873" t="s">
        <v>282</v>
      </c>
      <c r="E123" s="367">
        <f>E126+E183+E210+E225</f>
        <v>39606900</v>
      </c>
      <c r="F123" s="774">
        <f>F126+F183+F210+F225</f>
        <v>7904749.1600000001</v>
      </c>
      <c r="G123" s="1004"/>
      <c r="H123" s="1004"/>
      <c r="I123" s="1004"/>
      <c r="J123" s="1069"/>
      <c r="K123" s="1150"/>
      <c r="L123" s="775">
        <f>L126+L183+L210</f>
        <v>39606900</v>
      </c>
    </row>
    <row r="124" spans="1:12" x14ac:dyDescent="0.25">
      <c r="A124" s="971"/>
      <c r="B124" s="1234" t="s">
        <v>75</v>
      </c>
      <c r="C124" s="976"/>
      <c r="D124" s="766" t="s">
        <v>225</v>
      </c>
      <c r="E124" s="364">
        <f>E125+E126</f>
        <v>817495250.66000009</v>
      </c>
      <c r="F124" s="347">
        <f>F125+F126</f>
        <v>384534041.75</v>
      </c>
      <c r="G124" s="976"/>
      <c r="H124" s="976"/>
      <c r="I124" s="976"/>
      <c r="J124" s="1106"/>
      <c r="K124" s="1109"/>
      <c r="L124" s="776">
        <f>L125+L126</f>
        <v>817495250.66000009</v>
      </c>
    </row>
    <row r="125" spans="1:12" x14ac:dyDescent="0.25">
      <c r="A125" s="971"/>
      <c r="B125" s="1235"/>
      <c r="C125" s="977"/>
      <c r="D125" s="856" t="s">
        <v>283</v>
      </c>
      <c r="E125" s="316">
        <f>E128+E152+E159+E162+E172+E175</f>
        <v>804116850.66000009</v>
      </c>
      <c r="F125" s="771">
        <f>F128+F152+F159+F162+F172+F175</f>
        <v>376798709.31</v>
      </c>
      <c r="G125" s="977"/>
      <c r="H125" s="977"/>
      <c r="I125" s="977"/>
      <c r="J125" s="1107"/>
      <c r="K125" s="1110"/>
      <c r="L125" s="145">
        <f>L128+L152+L159+L162+L172+L175</f>
        <v>804116850.66000009</v>
      </c>
    </row>
    <row r="126" spans="1:12" ht="15.75" thickBot="1" x14ac:dyDescent="0.3">
      <c r="A126" s="971"/>
      <c r="B126" s="1236"/>
      <c r="C126" s="978"/>
      <c r="D126" s="857" t="s">
        <v>282</v>
      </c>
      <c r="E126" s="321">
        <f>E129+E153+E160+E163+E173+E176</f>
        <v>13378400</v>
      </c>
      <c r="F126" s="772">
        <f>F129+F153+F160+F163+F173+F176</f>
        <v>7735332.4400000004</v>
      </c>
      <c r="G126" s="978"/>
      <c r="H126" s="978"/>
      <c r="I126" s="978"/>
      <c r="J126" s="1108"/>
      <c r="K126" s="1111"/>
      <c r="L126" s="145">
        <f>L129+L153+L160+L163+L173+L176</f>
        <v>13378400</v>
      </c>
    </row>
    <row r="127" spans="1:12" ht="24" customHeight="1" x14ac:dyDescent="0.25">
      <c r="A127" s="971"/>
      <c r="B127" s="1237" t="s">
        <v>39</v>
      </c>
      <c r="C127" s="976" t="s">
        <v>180</v>
      </c>
      <c r="D127" s="766" t="s">
        <v>225</v>
      </c>
      <c r="E127" s="349">
        <f>E128+E129</f>
        <v>164612039.41999999</v>
      </c>
      <c r="F127" s="343">
        <f>F128+F129</f>
        <v>71815253.299999997</v>
      </c>
      <c r="G127" s="976" t="s">
        <v>445</v>
      </c>
      <c r="H127" s="1118" t="s">
        <v>354</v>
      </c>
      <c r="I127" s="1055" t="s">
        <v>357</v>
      </c>
      <c r="J127" s="1097">
        <v>200</v>
      </c>
      <c r="K127" s="1103">
        <v>205.5</v>
      </c>
      <c r="L127" s="353">
        <f>L128+L129</f>
        <v>164612039.41999999</v>
      </c>
    </row>
    <row r="128" spans="1:12" ht="24" customHeight="1" x14ac:dyDescent="0.25">
      <c r="A128" s="971"/>
      <c r="B128" s="1238"/>
      <c r="C128" s="977"/>
      <c r="D128" s="856" t="s">
        <v>283</v>
      </c>
      <c r="E128" s="316">
        <f>157142200.97+7469838.45</f>
        <v>164612039.41999999</v>
      </c>
      <c r="F128" s="331">
        <f>68729828.3+3085425</f>
        <v>71815253.299999997</v>
      </c>
      <c r="G128" s="977"/>
      <c r="H128" s="1119"/>
      <c r="I128" s="1056"/>
      <c r="J128" s="1098"/>
      <c r="K128" s="1104"/>
      <c r="L128" s="145">
        <v>164612039.41999999</v>
      </c>
    </row>
    <row r="129" spans="1:12" ht="24" customHeight="1" thickBot="1" x14ac:dyDescent="0.3">
      <c r="A129" s="971"/>
      <c r="B129" s="1238"/>
      <c r="C129" s="977"/>
      <c r="D129" s="857" t="s">
        <v>282</v>
      </c>
      <c r="E129" s="321">
        <f>0</f>
        <v>0</v>
      </c>
      <c r="F129" s="332">
        <f>0</f>
        <v>0</v>
      </c>
      <c r="G129" s="977"/>
      <c r="H129" s="1119"/>
      <c r="I129" s="1056"/>
      <c r="J129" s="1098"/>
      <c r="K129" s="1104"/>
      <c r="L129" s="352">
        <v>0</v>
      </c>
    </row>
    <row r="130" spans="1:12" ht="24" customHeight="1" x14ac:dyDescent="0.25">
      <c r="A130" s="971"/>
      <c r="B130" s="1238"/>
      <c r="C130" s="977"/>
      <c r="D130" s="1048"/>
      <c r="E130" s="1136"/>
      <c r="F130" s="1138"/>
      <c r="G130" s="977"/>
      <c r="H130" s="1119"/>
      <c r="I130" s="1056"/>
      <c r="J130" s="1098"/>
      <c r="K130" s="1104"/>
      <c r="L130" s="976"/>
    </row>
    <row r="131" spans="1:12" ht="24" customHeight="1" x14ac:dyDescent="0.25">
      <c r="A131" s="971"/>
      <c r="B131" s="1238"/>
      <c r="C131" s="977"/>
      <c r="D131" s="1048"/>
      <c r="E131" s="1136"/>
      <c r="F131" s="1139"/>
      <c r="G131" s="977"/>
      <c r="H131" s="1119"/>
      <c r="I131" s="1056"/>
      <c r="J131" s="1098"/>
      <c r="K131" s="1104"/>
      <c r="L131" s="977"/>
    </row>
    <row r="132" spans="1:12" ht="24" customHeight="1" x14ac:dyDescent="0.25">
      <c r="A132" s="971"/>
      <c r="B132" s="1238"/>
      <c r="C132" s="977"/>
      <c r="D132" s="1048"/>
      <c r="E132" s="1136"/>
      <c r="F132" s="1139"/>
      <c r="G132" s="977"/>
      <c r="H132" s="1119"/>
      <c r="I132" s="1056"/>
      <c r="J132" s="1098"/>
      <c r="K132" s="1104"/>
      <c r="L132" s="977"/>
    </row>
    <row r="133" spans="1:12" ht="24" customHeight="1" x14ac:dyDescent="0.25">
      <c r="A133" s="971"/>
      <c r="B133" s="1238"/>
      <c r="C133" s="977"/>
      <c r="D133" s="1048"/>
      <c r="E133" s="1136"/>
      <c r="F133" s="1139"/>
      <c r="G133" s="977"/>
      <c r="H133" s="1119"/>
      <c r="I133" s="1056"/>
      <c r="J133" s="1098"/>
      <c r="K133" s="1104"/>
      <c r="L133" s="977"/>
    </row>
    <row r="134" spans="1:12" ht="24" customHeight="1" x14ac:dyDescent="0.25">
      <c r="A134" s="971"/>
      <c r="B134" s="1238"/>
      <c r="C134" s="977"/>
      <c r="D134" s="1048"/>
      <c r="E134" s="1136"/>
      <c r="F134" s="1139"/>
      <c r="G134" s="977"/>
      <c r="H134" s="1119"/>
      <c r="I134" s="1056"/>
      <c r="J134" s="1098"/>
      <c r="K134" s="1104"/>
      <c r="L134" s="977"/>
    </row>
    <row r="135" spans="1:12" ht="24" customHeight="1" x14ac:dyDescent="0.25">
      <c r="A135" s="971"/>
      <c r="B135" s="1238"/>
      <c r="C135" s="977"/>
      <c r="D135" s="1048"/>
      <c r="E135" s="1136"/>
      <c r="F135" s="1139"/>
      <c r="G135" s="977"/>
      <c r="H135" s="1119"/>
      <c r="I135" s="1056"/>
      <c r="J135" s="1098"/>
      <c r="K135" s="1104"/>
      <c r="L135" s="977"/>
    </row>
    <row r="136" spans="1:12" ht="24" customHeight="1" x14ac:dyDescent="0.25">
      <c r="A136" s="971"/>
      <c r="B136" s="1238"/>
      <c r="C136" s="977"/>
      <c r="D136" s="1048"/>
      <c r="E136" s="1136"/>
      <c r="F136" s="1139"/>
      <c r="G136" s="977"/>
      <c r="H136" s="1119"/>
      <c r="I136" s="1056"/>
      <c r="J136" s="1098"/>
      <c r="K136" s="1104"/>
      <c r="L136" s="977"/>
    </row>
    <row r="137" spans="1:12" ht="24" customHeight="1" x14ac:dyDescent="0.25">
      <c r="A137" s="971"/>
      <c r="B137" s="1238"/>
      <c r="C137" s="977"/>
      <c r="D137" s="1048"/>
      <c r="E137" s="1136"/>
      <c r="F137" s="1139"/>
      <c r="G137" s="977"/>
      <c r="H137" s="1134"/>
      <c r="I137" s="1278"/>
      <c r="J137" s="1174"/>
      <c r="K137" s="1279"/>
      <c r="L137" s="977"/>
    </row>
    <row r="138" spans="1:12" ht="24" customHeight="1" x14ac:dyDescent="0.25">
      <c r="A138" s="971"/>
      <c r="B138" s="1238"/>
      <c r="C138" s="977"/>
      <c r="D138" s="1048"/>
      <c r="E138" s="1136"/>
      <c r="F138" s="1139"/>
      <c r="G138" s="977"/>
      <c r="H138" s="1272" t="s">
        <v>355</v>
      </c>
      <c r="I138" s="1273" t="s">
        <v>357</v>
      </c>
      <c r="J138" s="1154">
        <v>100</v>
      </c>
      <c r="K138" s="1280">
        <v>106.2</v>
      </c>
      <c r="L138" s="977"/>
    </row>
    <row r="139" spans="1:12" ht="24" customHeight="1" x14ac:dyDescent="0.25">
      <c r="A139" s="971"/>
      <c r="B139" s="1238"/>
      <c r="C139" s="977"/>
      <c r="D139" s="1048"/>
      <c r="E139" s="1136"/>
      <c r="F139" s="1139"/>
      <c r="G139" s="977"/>
      <c r="H139" s="1272"/>
      <c r="I139" s="1273"/>
      <c r="J139" s="1154"/>
      <c r="K139" s="1280"/>
      <c r="L139" s="977"/>
    </row>
    <row r="140" spans="1:12" ht="24" customHeight="1" x14ac:dyDescent="0.25">
      <c r="A140" s="971"/>
      <c r="B140" s="1238"/>
      <c r="C140" s="977"/>
      <c r="D140" s="1048"/>
      <c r="E140" s="1136"/>
      <c r="F140" s="1139"/>
      <c r="G140" s="977"/>
      <c r="H140" s="1272"/>
      <c r="I140" s="1273"/>
      <c r="J140" s="1154"/>
      <c r="K140" s="1280"/>
      <c r="L140" s="977"/>
    </row>
    <row r="141" spans="1:12" ht="24" customHeight="1" x14ac:dyDescent="0.25">
      <c r="A141" s="971"/>
      <c r="B141" s="1238"/>
      <c r="C141" s="977"/>
      <c r="D141" s="1048"/>
      <c r="E141" s="1136"/>
      <c r="F141" s="1139"/>
      <c r="G141" s="977"/>
      <c r="H141" s="1272"/>
      <c r="I141" s="1273"/>
      <c r="J141" s="1154"/>
      <c r="K141" s="1280"/>
      <c r="L141" s="977"/>
    </row>
    <row r="142" spans="1:12" ht="24" customHeight="1" x14ac:dyDescent="0.25">
      <c r="A142" s="971"/>
      <c r="B142" s="1238"/>
      <c r="C142" s="977"/>
      <c r="D142" s="1048"/>
      <c r="E142" s="1136"/>
      <c r="F142" s="1139"/>
      <c r="G142" s="977"/>
      <c r="H142" s="1272"/>
      <c r="I142" s="1273"/>
      <c r="J142" s="1154"/>
      <c r="K142" s="1280"/>
      <c r="L142" s="977"/>
    </row>
    <row r="143" spans="1:12" ht="24" customHeight="1" x14ac:dyDescent="0.25">
      <c r="A143" s="971"/>
      <c r="B143" s="1238"/>
      <c r="C143" s="977"/>
      <c r="D143" s="1048"/>
      <c r="E143" s="1136"/>
      <c r="F143" s="1139"/>
      <c r="G143" s="977"/>
      <c r="H143" s="1272"/>
      <c r="I143" s="1273"/>
      <c r="J143" s="1154"/>
      <c r="K143" s="1280"/>
      <c r="L143" s="977"/>
    </row>
    <row r="144" spans="1:12" ht="24" customHeight="1" x14ac:dyDescent="0.25">
      <c r="A144" s="971"/>
      <c r="B144" s="1238"/>
      <c r="C144" s="977"/>
      <c r="D144" s="1048"/>
      <c r="E144" s="1136"/>
      <c r="F144" s="1139"/>
      <c r="G144" s="977"/>
      <c r="H144" s="1272"/>
      <c r="I144" s="1273"/>
      <c r="J144" s="1154"/>
      <c r="K144" s="1280"/>
      <c r="L144" s="977"/>
    </row>
    <row r="145" spans="1:12" ht="24" customHeight="1" x14ac:dyDescent="0.25">
      <c r="A145" s="971"/>
      <c r="B145" s="1238"/>
      <c r="C145" s="977"/>
      <c r="D145" s="1048"/>
      <c r="E145" s="1136"/>
      <c r="F145" s="1139"/>
      <c r="G145" s="977"/>
      <c r="H145" s="1133" t="s">
        <v>356</v>
      </c>
      <c r="I145" s="1276" t="s">
        <v>357</v>
      </c>
      <c r="J145" s="1167">
        <v>100</v>
      </c>
      <c r="K145" s="1277">
        <v>101.9</v>
      </c>
      <c r="L145" s="977"/>
    </row>
    <row r="146" spans="1:12" ht="24" customHeight="1" x14ac:dyDescent="0.25">
      <c r="A146" s="971"/>
      <c r="B146" s="1238"/>
      <c r="C146" s="977"/>
      <c r="D146" s="1048"/>
      <c r="E146" s="1136"/>
      <c r="F146" s="1139"/>
      <c r="G146" s="977"/>
      <c r="H146" s="1119"/>
      <c r="I146" s="1056"/>
      <c r="J146" s="1098"/>
      <c r="K146" s="1104"/>
      <c r="L146" s="977"/>
    </row>
    <row r="147" spans="1:12" ht="24" customHeight="1" x14ac:dyDescent="0.25">
      <c r="A147" s="971"/>
      <c r="B147" s="1238"/>
      <c r="C147" s="977"/>
      <c r="D147" s="1048"/>
      <c r="E147" s="1136"/>
      <c r="F147" s="1139"/>
      <c r="G147" s="977"/>
      <c r="H147" s="1119"/>
      <c r="I147" s="1056"/>
      <c r="J147" s="1098"/>
      <c r="K147" s="1104"/>
      <c r="L147" s="977"/>
    </row>
    <row r="148" spans="1:12" ht="24" customHeight="1" x14ac:dyDescent="0.25">
      <c r="A148" s="971"/>
      <c r="B148" s="1238"/>
      <c r="C148" s="977"/>
      <c r="D148" s="1048"/>
      <c r="E148" s="1136"/>
      <c r="F148" s="1139"/>
      <c r="G148" s="977"/>
      <c r="H148" s="1119"/>
      <c r="I148" s="1056"/>
      <c r="J148" s="1098"/>
      <c r="K148" s="1104"/>
      <c r="L148" s="977"/>
    </row>
    <row r="149" spans="1:12" ht="24" customHeight="1" x14ac:dyDescent="0.25">
      <c r="A149" s="971"/>
      <c r="B149" s="1238"/>
      <c r="C149" s="977"/>
      <c r="D149" s="1048"/>
      <c r="E149" s="1136"/>
      <c r="F149" s="1139"/>
      <c r="G149" s="977"/>
      <c r="H149" s="1119"/>
      <c r="I149" s="1056"/>
      <c r="J149" s="1098"/>
      <c r="K149" s="1104"/>
      <c r="L149" s="977"/>
    </row>
    <row r="150" spans="1:12" ht="24" customHeight="1" thickBot="1" x14ac:dyDescent="0.3">
      <c r="A150" s="971"/>
      <c r="B150" s="1239"/>
      <c r="C150" s="978"/>
      <c r="D150" s="967"/>
      <c r="E150" s="1137"/>
      <c r="F150" s="1140"/>
      <c r="G150" s="978"/>
      <c r="H150" s="1119"/>
      <c r="I150" s="1056"/>
      <c r="J150" s="1098"/>
      <c r="K150" s="1105"/>
      <c r="L150" s="978"/>
    </row>
    <row r="151" spans="1:12" ht="25.5" x14ac:dyDescent="0.25">
      <c r="A151" s="971"/>
      <c r="B151" s="1052" t="s">
        <v>44</v>
      </c>
      <c r="C151" s="976" t="s">
        <v>180</v>
      </c>
      <c r="D151" s="766" t="s">
        <v>225</v>
      </c>
      <c r="E151" s="349">
        <f>E152+E153</f>
        <v>526592059.79000002</v>
      </c>
      <c r="F151" s="343">
        <f>F152+F153</f>
        <v>240543142.75</v>
      </c>
      <c r="G151" s="976" t="s">
        <v>445</v>
      </c>
      <c r="H151" s="75" t="s">
        <v>569</v>
      </c>
      <c r="I151" s="841" t="s">
        <v>359</v>
      </c>
      <c r="J151" s="906">
        <f>SUM(J152:J155)</f>
        <v>14837</v>
      </c>
      <c r="K151" s="906">
        <f>SUM(K152:K155)</f>
        <v>7345</v>
      </c>
      <c r="L151" s="353">
        <f>L152+L153</f>
        <v>526592059.79000002</v>
      </c>
    </row>
    <row r="152" spans="1:12" ht="25.5" x14ac:dyDescent="0.25">
      <c r="A152" s="971"/>
      <c r="B152" s="1053"/>
      <c r="C152" s="977"/>
      <c r="D152" s="856" t="s">
        <v>283</v>
      </c>
      <c r="E152" s="350">
        <v>526592059.79000002</v>
      </c>
      <c r="F152" s="331">
        <v>240543142.75</v>
      </c>
      <c r="G152" s="977"/>
      <c r="H152" s="49" t="s">
        <v>570</v>
      </c>
      <c r="I152" s="842" t="s">
        <v>359</v>
      </c>
      <c r="J152" s="907">
        <v>4746</v>
      </c>
      <c r="K152" s="848">
        <v>2280</v>
      </c>
      <c r="L152" s="145">
        <v>526592059.79000002</v>
      </c>
    </row>
    <row r="153" spans="1:12" ht="26.25" thickBot="1" x14ac:dyDescent="0.3">
      <c r="A153" s="971"/>
      <c r="B153" s="1053"/>
      <c r="C153" s="977"/>
      <c r="D153" s="857" t="s">
        <v>282</v>
      </c>
      <c r="E153" s="351">
        <f>0</f>
        <v>0</v>
      </c>
      <c r="F153" s="332">
        <v>0</v>
      </c>
      <c r="G153" s="977"/>
      <c r="H153" s="49" t="s">
        <v>571</v>
      </c>
      <c r="I153" s="842" t="s">
        <v>359</v>
      </c>
      <c r="J153" s="907">
        <v>1706</v>
      </c>
      <c r="K153" s="848">
        <v>872</v>
      </c>
      <c r="L153" s="352">
        <v>0</v>
      </c>
    </row>
    <row r="154" spans="1:12" ht="38.25" x14ac:dyDescent="0.25">
      <c r="A154" s="971"/>
      <c r="B154" s="1053"/>
      <c r="C154" s="977"/>
      <c r="D154" s="1048"/>
      <c r="E154" s="1098"/>
      <c r="F154" s="1139"/>
      <c r="G154" s="977"/>
      <c r="H154" s="49" t="s">
        <v>572</v>
      </c>
      <c r="I154" s="842" t="s">
        <v>359</v>
      </c>
      <c r="J154" s="907">
        <v>7550</v>
      </c>
      <c r="K154" s="848">
        <v>3775</v>
      </c>
      <c r="L154" s="976"/>
    </row>
    <row r="155" spans="1:12" ht="38.25" x14ac:dyDescent="0.25">
      <c r="A155" s="971"/>
      <c r="B155" s="1053"/>
      <c r="C155" s="977"/>
      <c r="D155" s="1048"/>
      <c r="E155" s="1098"/>
      <c r="F155" s="1139"/>
      <c r="G155" s="977"/>
      <c r="H155" s="49" t="s">
        <v>573</v>
      </c>
      <c r="I155" s="842" t="s">
        <v>359</v>
      </c>
      <c r="J155" s="907">
        <v>835</v>
      </c>
      <c r="K155" s="848">
        <v>418</v>
      </c>
      <c r="L155" s="977"/>
    </row>
    <row r="156" spans="1:12" ht="63.75" x14ac:dyDescent="0.25">
      <c r="A156" s="971"/>
      <c r="B156" s="1053"/>
      <c r="C156" s="977"/>
      <c r="D156" s="1048"/>
      <c r="E156" s="1098"/>
      <c r="F156" s="1139"/>
      <c r="G156" s="977"/>
      <c r="H156" s="49" t="s">
        <v>364</v>
      </c>
      <c r="I156" s="842" t="s">
        <v>357</v>
      </c>
      <c r="J156" s="907">
        <v>0</v>
      </c>
      <c r="K156" s="848">
        <v>0</v>
      </c>
      <c r="L156" s="977"/>
    </row>
    <row r="157" spans="1:12" ht="39" thickBot="1" x14ac:dyDescent="0.3">
      <c r="A157" s="971"/>
      <c r="B157" s="1053"/>
      <c r="C157" s="977"/>
      <c r="D157" s="1048"/>
      <c r="E157" s="1098"/>
      <c r="F157" s="1139"/>
      <c r="G157" s="977"/>
      <c r="H157" s="142" t="s">
        <v>365</v>
      </c>
      <c r="I157" s="843" t="s">
        <v>357</v>
      </c>
      <c r="J157" s="907">
        <v>52</v>
      </c>
      <c r="K157" s="848">
        <v>52</v>
      </c>
      <c r="L157" s="977"/>
    </row>
    <row r="158" spans="1:12" ht="31.5" customHeight="1" x14ac:dyDescent="0.25">
      <c r="A158" s="971"/>
      <c r="B158" s="1052" t="s">
        <v>221</v>
      </c>
      <c r="C158" s="976" t="s">
        <v>180</v>
      </c>
      <c r="D158" s="766" t="s">
        <v>225</v>
      </c>
      <c r="E158" s="349">
        <f>E159+E160</f>
        <v>15328169.57</v>
      </c>
      <c r="F158" s="343">
        <f>F159+F160</f>
        <v>7696847.5599999996</v>
      </c>
      <c r="G158" s="976" t="s">
        <v>445</v>
      </c>
      <c r="H158" s="75" t="s">
        <v>574</v>
      </c>
      <c r="I158" s="841" t="s">
        <v>366</v>
      </c>
      <c r="J158" s="844">
        <v>2799</v>
      </c>
      <c r="K158" s="847">
        <v>1736</v>
      </c>
      <c r="L158" s="486">
        <f>L159+L160</f>
        <v>15328169.57</v>
      </c>
    </row>
    <row r="159" spans="1:12" ht="30.75" customHeight="1" x14ac:dyDescent="0.25">
      <c r="A159" s="971"/>
      <c r="B159" s="1053"/>
      <c r="C159" s="977"/>
      <c r="D159" s="856" t="s">
        <v>283</v>
      </c>
      <c r="E159" s="350">
        <v>15328169.57</v>
      </c>
      <c r="F159" s="331">
        <v>7696847.5599999996</v>
      </c>
      <c r="G159" s="977"/>
      <c r="H159" s="1133" t="s">
        <v>547</v>
      </c>
      <c r="I159" s="1164" t="s">
        <v>357</v>
      </c>
      <c r="J159" s="1167">
        <v>100</v>
      </c>
      <c r="K159" s="1281">
        <v>100</v>
      </c>
      <c r="L159" s="467">
        <v>15328169.57</v>
      </c>
    </row>
    <row r="160" spans="1:12" ht="30.75" customHeight="1" thickBot="1" x14ac:dyDescent="0.3">
      <c r="A160" s="971"/>
      <c r="B160" s="1054"/>
      <c r="C160" s="978"/>
      <c r="D160" s="857" t="s">
        <v>282</v>
      </c>
      <c r="E160" s="351">
        <f>0</f>
        <v>0</v>
      </c>
      <c r="F160" s="332">
        <v>0</v>
      </c>
      <c r="G160" s="978"/>
      <c r="H160" s="1120"/>
      <c r="I160" s="978"/>
      <c r="J160" s="1099"/>
      <c r="K160" s="1282"/>
      <c r="L160" s="469">
        <v>0</v>
      </c>
    </row>
    <row r="161" spans="1:12" ht="29.25" customHeight="1" x14ac:dyDescent="0.25">
      <c r="A161" s="971"/>
      <c r="B161" s="1052" t="s">
        <v>45</v>
      </c>
      <c r="C161" s="976" t="s">
        <v>180</v>
      </c>
      <c r="D161" s="766" t="s">
        <v>225</v>
      </c>
      <c r="E161" s="349">
        <f>E162+E163</f>
        <v>24130781.48</v>
      </c>
      <c r="F161" s="343">
        <f>F162+F163</f>
        <v>11327344.82</v>
      </c>
      <c r="G161" s="976" t="s">
        <v>445</v>
      </c>
      <c r="H161" s="75" t="s">
        <v>548</v>
      </c>
      <c r="I161" s="841" t="s">
        <v>359</v>
      </c>
      <c r="J161" s="844">
        <f>J162+J163+J164</f>
        <v>4206</v>
      </c>
      <c r="K161" s="908">
        <f>K162+K163+K164</f>
        <v>1885</v>
      </c>
      <c r="L161" s="353">
        <f>L162+L163</f>
        <v>24130781.48</v>
      </c>
    </row>
    <row r="162" spans="1:12" ht="29.25" customHeight="1" x14ac:dyDescent="0.25">
      <c r="A162" s="971"/>
      <c r="B162" s="1053"/>
      <c r="C162" s="977"/>
      <c r="D162" s="856" t="s">
        <v>283</v>
      </c>
      <c r="E162" s="350">
        <v>24130781.48</v>
      </c>
      <c r="F162" s="331">
        <v>11327344.82</v>
      </c>
      <c r="G162" s="977"/>
      <c r="H162" s="49" t="s">
        <v>549</v>
      </c>
      <c r="I162" s="842" t="s">
        <v>359</v>
      </c>
      <c r="J162" s="845">
        <v>2758</v>
      </c>
      <c r="K162" s="848">
        <v>1151</v>
      </c>
      <c r="L162" s="145">
        <v>24130781.48</v>
      </c>
    </row>
    <row r="163" spans="1:12" ht="29.25" customHeight="1" thickBot="1" x14ac:dyDescent="0.3">
      <c r="A163" s="971"/>
      <c r="B163" s="1053"/>
      <c r="C163" s="977"/>
      <c r="D163" s="857" t="s">
        <v>282</v>
      </c>
      <c r="E163" s="351">
        <f>0</f>
        <v>0</v>
      </c>
      <c r="F163" s="332">
        <v>0</v>
      </c>
      <c r="G163" s="977"/>
      <c r="H163" s="49" t="s">
        <v>550</v>
      </c>
      <c r="I163" s="842" t="s">
        <v>359</v>
      </c>
      <c r="J163" s="845">
        <v>568</v>
      </c>
      <c r="K163" s="848">
        <v>294</v>
      </c>
      <c r="L163" s="352">
        <v>0</v>
      </c>
    </row>
    <row r="164" spans="1:12" ht="45.75" customHeight="1" x14ac:dyDescent="0.25">
      <c r="A164" s="971"/>
      <c r="B164" s="1053"/>
      <c r="C164" s="977"/>
      <c r="D164" s="1048"/>
      <c r="E164" s="1136"/>
      <c r="F164" s="1139"/>
      <c r="G164" s="977"/>
      <c r="H164" s="49" t="s">
        <v>551</v>
      </c>
      <c r="I164" s="842" t="s">
        <v>359</v>
      </c>
      <c r="J164" s="845">
        <v>880</v>
      </c>
      <c r="K164" s="848">
        <v>440</v>
      </c>
      <c r="L164" s="977"/>
    </row>
    <row r="165" spans="1:12" ht="30.75" customHeight="1" x14ac:dyDescent="0.25">
      <c r="A165" s="971"/>
      <c r="B165" s="1053"/>
      <c r="C165" s="977"/>
      <c r="D165" s="1048"/>
      <c r="E165" s="1136"/>
      <c r="F165" s="1139"/>
      <c r="G165" s="977"/>
      <c r="H165" s="49" t="s">
        <v>594</v>
      </c>
      <c r="I165" s="842" t="s">
        <v>359</v>
      </c>
      <c r="J165" s="845">
        <f>SUM(J166:J168)</f>
        <v>157650</v>
      </c>
      <c r="K165" s="907">
        <f>SUM(K166:K168)</f>
        <v>74443</v>
      </c>
      <c r="L165" s="977"/>
    </row>
    <row r="166" spans="1:12" ht="31.5" customHeight="1" x14ac:dyDescent="0.25">
      <c r="A166" s="971"/>
      <c r="B166" s="1053"/>
      <c r="C166" s="977"/>
      <c r="D166" s="1048"/>
      <c r="E166" s="1136"/>
      <c r="F166" s="1139"/>
      <c r="G166" s="977"/>
      <c r="H166" s="49" t="s">
        <v>595</v>
      </c>
      <c r="I166" s="842" t="s">
        <v>359</v>
      </c>
      <c r="J166" s="845">
        <v>115876</v>
      </c>
      <c r="K166" s="848">
        <v>54285</v>
      </c>
      <c r="L166" s="977"/>
    </row>
    <row r="167" spans="1:12" ht="30.75" customHeight="1" x14ac:dyDescent="0.25">
      <c r="A167" s="971"/>
      <c r="B167" s="1053"/>
      <c r="C167" s="977"/>
      <c r="D167" s="1048"/>
      <c r="E167" s="1136"/>
      <c r="F167" s="1139"/>
      <c r="G167" s="977"/>
      <c r="H167" s="49" t="s">
        <v>596</v>
      </c>
      <c r="I167" s="842" t="s">
        <v>359</v>
      </c>
      <c r="J167" s="845">
        <v>32974</v>
      </c>
      <c r="K167" s="848">
        <v>15758</v>
      </c>
      <c r="L167" s="977"/>
    </row>
    <row r="168" spans="1:12" ht="41.25" customHeight="1" x14ac:dyDescent="0.25">
      <c r="A168" s="971"/>
      <c r="B168" s="1053"/>
      <c r="C168" s="977"/>
      <c r="D168" s="1048"/>
      <c r="E168" s="1136"/>
      <c r="F168" s="1139"/>
      <c r="G168" s="977"/>
      <c r="H168" s="49" t="s">
        <v>597</v>
      </c>
      <c r="I168" s="842" t="s">
        <v>359</v>
      </c>
      <c r="J168" s="845">
        <v>8800</v>
      </c>
      <c r="K168" s="848">
        <v>4400</v>
      </c>
      <c r="L168" s="977"/>
    </row>
    <row r="169" spans="1:12" ht="68.25" customHeight="1" x14ac:dyDescent="0.25">
      <c r="A169" s="971"/>
      <c r="B169" s="1053"/>
      <c r="C169" s="977"/>
      <c r="D169" s="1048"/>
      <c r="E169" s="1136"/>
      <c r="F169" s="1139"/>
      <c r="G169" s="977"/>
      <c r="H169" s="49" t="s">
        <v>364</v>
      </c>
      <c r="I169" s="842" t="s">
        <v>357</v>
      </c>
      <c r="J169" s="845">
        <v>100</v>
      </c>
      <c r="K169" s="848">
        <v>100</v>
      </c>
      <c r="L169" s="977"/>
    </row>
    <row r="170" spans="1:12" ht="45.75" customHeight="1" thickBot="1" x14ac:dyDescent="0.3">
      <c r="A170" s="971"/>
      <c r="B170" s="1053"/>
      <c r="C170" s="977"/>
      <c r="D170" s="1048"/>
      <c r="E170" s="1136"/>
      <c r="F170" s="1139"/>
      <c r="G170" s="977"/>
      <c r="H170" s="57" t="s">
        <v>365</v>
      </c>
      <c r="I170" s="834" t="s">
        <v>357</v>
      </c>
      <c r="J170" s="810">
        <v>52</v>
      </c>
      <c r="K170" s="809">
        <v>52</v>
      </c>
      <c r="L170" s="977"/>
    </row>
    <row r="171" spans="1:12" ht="19.5" customHeight="1" x14ac:dyDescent="0.25">
      <c r="A171" s="1126"/>
      <c r="B171" s="1052" t="s">
        <v>606</v>
      </c>
      <c r="C171" s="976" t="s">
        <v>180</v>
      </c>
      <c r="D171" s="909" t="s">
        <v>225</v>
      </c>
      <c r="E171" s="364">
        <f>E172+E173</f>
        <v>6978910.4000000004</v>
      </c>
      <c r="F171" s="343">
        <f>F172+F173</f>
        <v>6978910.4000000004</v>
      </c>
      <c r="G171" s="976" t="s">
        <v>445</v>
      </c>
      <c r="H171" s="976" t="s">
        <v>607</v>
      </c>
      <c r="I171" s="976" t="s">
        <v>608</v>
      </c>
      <c r="J171" s="1097">
        <v>3.1</v>
      </c>
      <c r="K171" s="1138">
        <v>2.4</v>
      </c>
      <c r="L171" s="781">
        <f>SUM(L172:L173)</f>
        <v>6978910.4000000004</v>
      </c>
    </row>
    <row r="172" spans="1:12" ht="19.5" customHeight="1" x14ac:dyDescent="0.25">
      <c r="A172" s="1126"/>
      <c r="B172" s="1053"/>
      <c r="C172" s="977"/>
      <c r="D172" s="910" t="s">
        <v>283</v>
      </c>
      <c r="E172" s="316">
        <v>6978910.4000000004</v>
      </c>
      <c r="F172" s="331">
        <v>6978910.4000000004</v>
      </c>
      <c r="G172" s="977"/>
      <c r="H172" s="977"/>
      <c r="I172" s="977"/>
      <c r="J172" s="1098"/>
      <c r="K172" s="1139"/>
      <c r="L172" s="800">
        <v>6978910.4000000004</v>
      </c>
    </row>
    <row r="173" spans="1:12" ht="19.5" customHeight="1" thickBot="1" x14ac:dyDescent="0.3">
      <c r="A173" s="1126"/>
      <c r="B173" s="1054"/>
      <c r="C173" s="978"/>
      <c r="D173" s="911" t="s">
        <v>282</v>
      </c>
      <c r="E173" s="321">
        <v>0</v>
      </c>
      <c r="F173" s="332">
        <v>0</v>
      </c>
      <c r="G173" s="978"/>
      <c r="H173" s="978"/>
      <c r="I173" s="978"/>
      <c r="J173" s="1099"/>
      <c r="K173" s="1140"/>
      <c r="L173" s="912">
        <v>0</v>
      </c>
    </row>
    <row r="174" spans="1:12" ht="35.25" customHeight="1" x14ac:dyDescent="0.25">
      <c r="A174" s="1126"/>
      <c r="B174" s="1263" t="s">
        <v>598</v>
      </c>
      <c r="C174" s="1156" t="s">
        <v>180</v>
      </c>
      <c r="D174" s="909" t="s">
        <v>225</v>
      </c>
      <c r="E174" s="364">
        <f>E175+E176</f>
        <v>79853290</v>
      </c>
      <c r="F174" s="343">
        <f>F175+F176</f>
        <v>46172542.919999994</v>
      </c>
      <c r="G174" s="1156" t="s">
        <v>445</v>
      </c>
      <c r="H174" s="146" t="s">
        <v>599</v>
      </c>
      <c r="I174" s="913" t="s">
        <v>363</v>
      </c>
      <c r="J174" s="836">
        <f>SUM(J175:J180)</f>
        <v>271</v>
      </c>
      <c r="K174" s="847">
        <f>SUM(K175:K180)</f>
        <v>82</v>
      </c>
      <c r="L174" s="781">
        <f>SUM(L175:L176)</f>
        <v>79853290</v>
      </c>
    </row>
    <row r="175" spans="1:12" ht="35.25" customHeight="1" x14ac:dyDescent="0.25">
      <c r="A175" s="1126"/>
      <c r="B175" s="1264"/>
      <c r="C175" s="1157"/>
      <c r="D175" s="910" t="s">
        <v>283</v>
      </c>
      <c r="E175" s="316">
        <v>66474890</v>
      </c>
      <c r="F175" s="331">
        <v>38437210.479999997</v>
      </c>
      <c r="G175" s="1157"/>
      <c r="H175" s="135" t="s">
        <v>600</v>
      </c>
      <c r="I175" s="914" t="s">
        <v>363</v>
      </c>
      <c r="J175" s="845">
        <v>16</v>
      </c>
      <c r="K175" s="903">
        <v>5</v>
      </c>
      <c r="L175" s="800">
        <v>66474890</v>
      </c>
    </row>
    <row r="176" spans="1:12" ht="35.25" customHeight="1" thickBot="1" x14ac:dyDescent="0.3">
      <c r="A176" s="1126"/>
      <c r="B176" s="1264"/>
      <c r="C176" s="1157"/>
      <c r="D176" s="911" t="s">
        <v>282</v>
      </c>
      <c r="E176" s="321">
        <v>13378400</v>
      </c>
      <c r="F176" s="332">
        <v>7735332.4400000004</v>
      </c>
      <c r="G176" s="1157"/>
      <c r="H176" s="135" t="s">
        <v>601</v>
      </c>
      <c r="I176" s="914" t="s">
        <v>363</v>
      </c>
      <c r="J176" s="845">
        <v>168</v>
      </c>
      <c r="K176" s="903">
        <v>45</v>
      </c>
      <c r="L176" s="915">
        <v>13378400</v>
      </c>
    </row>
    <row r="177" spans="1:12" ht="35.25" customHeight="1" x14ac:dyDescent="0.25">
      <c r="A177" s="1126"/>
      <c r="B177" s="1264"/>
      <c r="C177" s="1157"/>
      <c r="D177" s="966"/>
      <c r="E177" s="1290"/>
      <c r="F177" s="1042"/>
      <c r="G177" s="1157"/>
      <c r="H177" s="135" t="s">
        <v>602</v>
      </c>
      <c r="I177" s="914" t="s">
        <v>363</v>
      </c>
      <c r="J177" s="845">
        <v>10</v>
      </c>
      <c r="K177" s="903">
        <v>0</v>
      </c>
      <c r="L177" s="977"/>
    </row>
    <row r="178" spans="1:12" ht="35.25" customHeight="1" x14ac:dyDescent="0.25">
      <c r="A178" s="1126"/>
      <c r="B178" s="1264"/>
      <c r="C178" s="1157"/>
      <c r="D178" s="1048"/>
      <c r="E178" s="1291"/>
      <c r="F178" s="1043"/>
      <c r="G178" s="1157"/>
      <c r="H178" s="135" t="s">
        <v>603</v>
      </c>
      <c r="I178" s="914" t="s">
        <v>363</v>
      </c>
      <c r="J178" s="845">
        <v>18</v>
      </c>
      <c r="K178" s="903">
        <v>4</v>
      </c>
      <c r="L178" s="977"/>
    </row>
    <row r="179" spans="1:12" ht="35.25" customHeight="1" x14ac:dyDescent="0.25">
      <c r="A179" s="1126"/>
      <c r="B179" s="1264"/>
      <c r="C179" s="1157"/>
      <c r="D179" s="1048"/>
      <c r="E179" s="1291"/>
      <c r="F179" s="1043"/>
      <c r="G179" s="1157"/>
      <c r="H179" s="135" t="s">
        <v>604</v>
      </c>
      <c r="I179" s="914" t="s">
        <v>363</v>
      </c>
      <c r="J179" s="845">
        <v>3</v>
      </c>
      <c r="K179" s="903">
        <v>0</v>
      </c>
      <c r="L179" s="977"/>
    </row>
    <row r="180" spans="1:12" ht="35.25" customHeight="1" thickBot="1" x14ac:dyDescent="0.3">
      <c r="A180" s="1126"/>
      <c r="B180" s="1269"/>
      <c r="C180" s="1158"/>
      <c r="D180" s="967"/>
      <c r="E180" s="1292"/>
      <c r="F180" s="1044"/>
      <c r="G180" s="1158"/>
      <c r="H180" s="136" t="s">
        <v>605</v>
      </c>
      <c r="I180" s="916" t="s">
        <v>363</v>
      </c>
      <c r="J180" s="846">
        <v>56</v>
      </c>
      <c r="K180" s="904">
        <v>28</v>
      </c>
      <c r="L180" s="978"/>
    </row>
    <row r="181" spans="1:12" x14ac:dyDescent="0.25">
      <c r="A181" s="971"/>
      <c r="B181" s="1121" t="s">
        <v>330</v>
      </c>
      <c r="C181" s="976"/>
      <c r="D181" s="766" t="s">
        <v>225</v>
      </c>
      <c r="E181" s="364">
        <f>E182+E183</f>
        <v>22633984.559999999</v>
      </c>
      <c r="F181" s="347">
        <f>F182+F183</f>
        <v>11044556.390000001</v>
      </c>
      <c r="G181" s="976"/>
      <c r="H181" s="976"/>
      <c r="I181" s="976"/>
      <c r="J181" s="1097"/>
      <c r="K181" s="1103"/>
      <c r="L181" s="486">
        <f>L182+L183</f>
        <v>22633984.559999999</v>
      </c>
    </row>
    <row r="182" spans="1:12" x14ac:dyDescent="0.25">
      <c r="A182" s="971"/>
      <c r="B182" s="1122"/>
      <c r="C182" s="977"/>
      <c r="D182" s="856" t="s">
        <v>283</v>
      </c>
      <c r="E182" s="316">
        <f>E185+E203</f>
        <v>22633984.559999999</v>
      </c>
      <c r="F182" s="771">
        <f>F185+F203</f>
        <v>11044556.390000001</v>
      </c>
      <c r="G182" s="977"/>
      <c r="H182" s="977"/>
      <c r="I182" s="977"/>
      <c r="J182" s="1098"/>
      <c r="K182" s="1104"/>
      <c r="L182" s="467">
        <f>L185+L203</f>
        <v>22633984.559999999</v>
      </c>
    </row>
    <row r="183" spans="1:12" ht="15.75" thickBot="1" x14ac:dyDescent="0.3">
      <c r="A183" s="971"/>
      <c r="B183" s="1123"/>
      <c r="C183" s="978"/>
      <c r="D183" s="857" t="s">
        <v>282</v>
      </c>
      <c r="E183" s="321">
        <f>E186+E204</f>
        <v>0</v>
      </c>
      <c r="F183" s="772">
        <f>F186+F204</f>
        <v>0</v>
      </c>
      <c r="G183" s="978"/>
      <c r="H183" s="978"/>
      <c r="I183" s="978"/>
      <c r="J183" s="1099"/>
      <c r="K183" s="1105"/>
      <c r="L183" s="469">
        <f>L186+L204</f>
        <v>0</v>
      </c>
    </row>
    <row r="184" spans="1:12" ht="81" customHeight="1" x14ac:dyDescent="0.25">
      <c r="A184" s="971"/>
      <c r="B184" s="1052" t="s">
        <v>39</v>
      </c>
      <c r="C184" s="976" t="s">
        <v>180</v>
      </c>
      <c r="D184" s="766" t="s">
        <v>225</v>
      </c>
      <c r="E184" s="349">
        <f>E185+E186</f>
        <v>4632319.04</v>
      </c>
      <c r="F184" s="343">
        <f>F185+F186</f>
        <v>2044556.39</v>
      </c>
      <c r="G184" s="976" t="s">
        <v>445</v>
      </c>
      <c r="H184" s="1118" t="s">
        <v>354</v>
      </c>
      <c r="I184" s="976" t="s">
        <v>357</v>
      </c>
      <c r="J184" s="1097">
        <v>200</v>
      </c>
      <c r="K184" s="1103">
        <v>205.5</v>
      </c>
      <c r="L184" s="486">
        <f>L185+L186</f>
        <v>4632319.04</v>
      </c>
    </row>
    <row r="185" spans="1:12" ht="81" customHeight="1" x14ac:dyDescent="0.25">
      <c r="A185" s="971"/>
      <c r="B185" s="1053"/>
      <c r="C185" s="977"/>
      <c r="D185" s="856" t="s">
        <v>283</v>
      </c>
      <c r="E185" s="350">
        <v>4632319.04</v>
      </c>
      <c r="F185" s="331">
        <v>2044556.39</v>
      </c>
      <c r="G185" s="977"/>
      <c r="H185" s="1119"/>
      <c r="I185" s="977"/>
      <c r="J185" s="1098"/>
      <c r="K185" s="1104"/>
      <c r="L185" s="467">
        <v>4632319.04</v>
      </c>
    </row>
    <row r="186" spans="1:12" ht="81" customHeight="1" thickBot="1" x14ac:dyDescent="0.3">
      <c r="A186" s="971"/>
      <c r="B186" s="1053"/>
      <c r="C186" s="977"/>
      <c r="D186" s="857" t="s">
        <v>282</v>
      </c>
      <c r="E186" s="351">
        <f>0</f>
        <v>0</v>
      </c>
      <c r="F186" s="332">
        <v>0</v>
      </c>
      <c r="G186" s="977"/>
      <c r="H186" s="1119"/>
      <c r="I186" s="977"/>
      <c r="J186" s="1098"/>
      <c r="K186" s="1104"/>
      <c r="L186" s="145">
        <v>0</v>
      </c>
    </row>
    <row r="187" spans="1:12" ht="22.5" customHeight="1" x14ac:dyDescent="0.25">
      <c r="A187" s="971"/>
      <c r="B187" s="1053"/>
      <c r="C187" s="977"/>
      <c r="D187" s="1048"/>
      <c r="E187" s="1136"/>
      <c r="F187" s="1139"/>
      <c r="G187" s="977"/>
      <c r="H187" s="1133" t="s">
        <v>355</v>
      </c>
      <c r="I187" s="1164" t="s">
        <v>357</v>
      </c>
      <c r="J187" s="1167">
        <v>100</v>
      </c>
      <c r="K187" s="1277">
        <v>106.2</v>
      </c>
      <c r="L187" s="977"/>
    </row>
    <row r="188" spans="1:12" ht="22.5" customHeight="1" x14ac:dyDescent="0.25">
      <c r="A188" s="971"/>
      <c r="B188" s="1053"/>
      <c r="C188" s="977"/>
      <c r="D188" s="1048"/>
      <c r="E188" s="1136"/>
      <c r="F188" s="1139"/>
      <c r="G188" s="977"/>
      <c r="H188" s="1119"/>
      <c r="I188" s="977"/>
      <c r="J188" s="1098"/>
      <c r="K188" s="1104"/>
      <c r="L188" s="977"/>
    </row>
    <row r="189" spans="1:12" ht="22.5" customHeight="1" x14ac:dyDescent="0.25">
      <c r="A189" s="971"/>
      <c r="B189" s="1053"/>
      <c r="C189" s="977"/>
      <c r="D189" s="1048"/>
      <c r="E189" s="1136"/>
      <c r="F189" s="1139"/>
      <c r="G189" s="977"/>
      <c r="H189" s="1119"/>
      <c r="I189" s="977"/>
      <c r="J189" s="1098"/>
      <c r="K189" s="1104"/>
      <c r="L189" s="977"/>
    </row>
    <row r="190" spans="1:12" ht="22.5" customHeight="1" x14ac:dyDescent="0.25">
      <c r="A190" s="971"/>
      <c r="B190" s="1053"/>
      <c r="C190" s="977"/>
      <c r="D190" s="1048"/>
      <c r="E190" s="1136"/>
      <c r="F190" s="1139"/>
      <c r="G190" s="977"/>
      <c r="H190" s="1119"/>
      <c r="I190" s="977"/>
      <c r="J190" s="1098"/>
      <c r="K190" s="1104"/>
      <c r="L190" s="977"/>
    </row>
    <row r="191" spans="1:12" ht="22.5" customHeight="1" x14ac:dyDescent="0.25">
      <c r="A191" s="971"/>
      <c r="B191" s="1053"/>
      <c r="C191" s="977"/>
      <c r="D191" s="1048"/>
      <c r="E191" s="1136"/>
      <c r="F191" s="1139"/>
      <c r="G191" s="977"/>
      <c r="H191" s="1119"/>
      <c r="I191" s="977"/>
      <c r="J191" s="1098"/>
      <c r="K191" s="1104"/>
      <c r="L191" s="977"/>
    </row>
    <row r="192" spans="1:12" ht="22.5" customHeight="1" x14ac:dyDescent="0.25">
      <c r="A192" s="971"/>
      <c r="B192" s="1053"/>
      <c r="C192" s="977"/>
      <c r="D192" s="1048"/>
      <c r="E192" s="1136"/>
      <c r="F192" s="1139"/>
      <c r="G192" s="977"/>
      <c r="H192" s="1119"/>
      <c r="I192" s="977"/>
      <c r="J192" s="1098"/>
      <c r="K192" s="1104"/>
      <c r="L192" s="977"/>
    </row>
    <row r="193" spans="1:12" ht="22.5" customHeight="1" x14ac:dyDescent="0.25">
      <c r="A193" s="971"/>
      <c r="B193" s="1053"/>
      <c r="C193" s="977"/>
      <c r="D193" s="1048"/>
      <c r="E193" s="1136"/>
      <c r="F193" s="1139"/>
      <c r="G193" s="977"/>
      <c r="H193" s="1119"/>
      <c r="I193" s="977"/>
      <c r="J193" s="1098"/>
      <c r="K193" s="1104"/>
      <c r="L193" s="977"/>
    </row>
    <row r="194" spans="1:12" ht="22.5" customHeight="1" x14ac:dyDescent="0.25">
      <c r="A194" s="971"/>
      <c r="B194" s="1053"/>
      <c r="C194" s="977"/>
      <c r="D194" s="1048"/>
      <c r="E194" s="1136"/>
      <c r="F194" s="1139"/>
      <c r="G194" s="977"/>
      <c r="H194" s="1134"/>
      <c r="I194" s="1173"/>
      <c r="J194" s="1174"/>
      <c r="K194" s="1279"/>
      <c r="L194" s="977"/>
    </row>
    <row r="195" spans="1:12" ht="22.5" customHeight="1" x14ac:dyDescent="0.25">
      <c r="A195" s="971"/>
      <c r="B195" s="1053"/>
      <c r="C195" s="977"/>
      <c r="D195" s="1048"/>
      <c r="E195" s="1136"/>
      <c r="F195" s="1139"/>
      <c r="G195" s="977"/>
      <c r="H195" s="1133" t="s">
        <v>356</v>
      </c>
      <c r="I195" s="1164" t="s">
        <v>357</v>
      </c>
      <c r="J195" s="1167">
        <v>100</v>
      </c>
      <c r="K195" s="1277">
        <v>101.9</v>
      </c>
      <c r="L195" s="977"/>
    </row>
    <row r="196" spans="1:12" ht="22.5" customHeight="1" x14ac:dyDescent="0.25">
      <c r="A196" s="971"/>
      <c r="B196" s="1053"/>
      <c r="C196" s="977"/>
      <c r="D196" s="1048"/>
      <c r="E196" s="1136"/>
      <c r="F196" s="1139"/>
      <c r="G196" s="977"/>
      <c r="H196" s="1119"/>
      <c r="I196" s="977"/>
      <c r="J196" s="1098"/>
      <c r="K196" s="1104"/>
      <c r="L196" s="977"/>
    </row>
    <row r="197" spans="1:12" ht="22.5" customHeight="1" x14ac:dyDescent="0.25">
      <c r="A197" s="971"/>
      <c r="B197" s="1053"/>
      <c r="C197" s="977"/>
      <c r="D197" s="1048"/>
      <c r="E197" s="1136"/>
      <c r="F197" s="1139"/>
      <c r="G197" s="977"/>
      <c r="H197" s="1119"/>
      <c r="I197" s="977"/>
      <c r="J197" s="1098"/>
      <c r="K197" s="1104"/>
      <c r="L197" s="977"/>
    </row>
    <row r="198" spans="1:12" ht="22.5" customHeight="1" x14ac:dyDescent="0.25">
      <c r="A198" s="971"/>
      <c r="B198" s="1053"/>
      <c r="C198" s="977"/>
      <c r="D198" s="1048"/>
      <c r="E198" s="1136"/>
      <c r="F198" s="1139"/>
      <c r="G198" s="977"/>
      <c r="H198" s="1119"/>
      <c r="I198" s="977"/>
      <c r="J198" s="1098"/>
      <c r="K198" s="1104"/>
      <c r="L198" s="977"/>
    </row>
    <row r="199" spans="1:12" ht="22.5" customHeight="1" x14ac:dyDescent="0.25">
      <c r="A199" s="971"/>
      <c r="B199" s="1053"/>
      <c r="C199" s="977"/>
      <c r="D199" s="1048"/>
      <c r="E199" s="1136"/>
      <c r="F199" s="1139"/>
      <c r="G199" s="977"/>
      <c r="H199" s="1119"/>
      <c r="I199" s="977"/>
      <c r="J199" s="1098"/>
      <c r="K199" s="1104"/>
      <c r="L199" s="977"/>
    </row>
    <row r="200" spans="1:12" ht="22.5" customHeight="1" x14ac:dyDescent="0.25">
      <c r="A200" s="971"/>
      <c r="B200" s="1053"/>
      <c r="C200" s="977"/>
      <c r="D200" s="1048"/>
      <c r="E200" s="1136"/>
      <c r="F200" s="1139"/>
      <c r="G200" s="977"/>
      <c r="H200" s="1119"/>
      <c r="I200" s="977"/>
      <c r="J200" s="1098"/>
      <c r="K200" s="1104"/>
      <c r="L200" s="977"/>
    </row>
    <row r="201" spans="1:12" ht="22.5" customHeight="1" thickBot="1" x14ac:dyDescent="0.3">
      <c r="A201" s="971"/>
      <c r="B201" s="1053"/>
      <c r="C201" s="977"/>
      <c r="D201" s="1048"/>
      <c r="E201" s="1136"/>
      <c r="F201" s="1139"/>
      <c r="G201" s="977"/>
      <c r="H201" s="1119"/>
      <c r="I201" s="977"/>
      <c r="J201" s="1098"/>
      <c r="K201" s="1104"/>
      <c r="L201" s="977"/>
    </row>
    <row r="202" spans="1:12" ht="25.5" x14ac:dyDescent="0.25">
      <c r="A202" s="971"/>
      <c r="B202" s="1052" t="s">
        <v>98</v>
      </c>
      <c r="C202" s="976" t="s">
        <v>180</v>
      </c>
      <c r="D202" s="766" t="s">
        <v>225</v>
      </c>
      <c r="E202" s="349">
        <f>E203+E204</f>
        <v>18001665.52</v>
      </c>
      <c r="F202" s="343">
        <f>F203+F204</f>
        <v>9000000</v>
      </c>
      <c r="G202" s="976" t="s">
        <v>445</v>
      </c>
      <c r="H202" s="75" t="s">
        <v>609</v>
      </c>
      <c r="I202" s="841" t="s">
        <v>359</v>
      </c>
      <c r="J202" s="844">
        <v>26290</v>
      </c>
      <c r="K202" s="847">
        <f>K203+K204</f>
        <v>20000</v>
      </c>
      <c r="L202" s="353">
        <f>L203+L204</f>
        <v>18001665.52</v>
      </c>
    </row>
    <row r="203" spans="1:12" ht="38.25" x14ac:dyDescent="0.25">
      <c r="A203" s="971"/>
      <c r="B203" s="1053"/>
      <c r="C203" s="977"/>
      <c r="D203" s="856" t="s">
        <v>283</v>
      </c>
      <c r="E203" s="350">
        <v>18001665.52</v>
      </c>
      <c r="F203" s="331">
        <v>9000000</v>
      </c>
      <c r="G203" s="977"/>
      <c r="H203" s="49" t="s">
        <v>610</v>
      </c>
      <c r="I203" s="842" t="s">
        <v>359</v>
      </c>
      <c r="J203" s="845">
        <v>1552</v>
      </c>
      <c r="K203" s="885">
        <v>1250</v>
      </c>
      <c r="L203" s="145">
        <v>18001665.52</v>
      </c>
    </row>
    <row r="204" spans="1:12" ht="26.25" thickBot="1" x14ac:dyDescent="0.3">
      <c r="A204" s="971"/>
      <c r="B204" s="1053"/>
      <c r="C204" s="977"/>
      <c r="D204" s="857" t="s">
        <v>282</v>
      </c>
      <c r="E204" s="351">
        <f>0</f>
        <v>0</v>
      </c>
      <c r="F204" s="332">
        <v>0</v>
      </c>
      <c r="G204" s="977"/>
      <c r="H204" s="57" t="s">
        <v>611</v>
      </c>
      <c r="I204" s="917" t="s">
        <v>359</v>
      </c>
      <c r="J204" s="810">
        <v>24738</v>
      </c>
      <c r="K204" s="885">
        <v>18750</v>
      </c>
      <c r="L204" s="489">
        <v>0</v>
      </c>
    </row>
    <row r="205" spans="1:12" ht="25.5" x14ac:dyDescent="0.25">
      <c r="A205" s="971"/>
      <c r="B205" s="1053"/>
      <c r="C205" s="977"/>
      <c r="D205" s="966"/>
      <c r="E205" s="1290"/>
      <c r="F205" s="1169"/>
      <c r="G205" s="977"/>
      <c r="H205" s="49" t="s">
        <v>612</v>
      </c>
      <c r="I205" s="917" t="s">
        <v>359</v>
      </c>
      <c r="J205" s="845">
        <v>8550</v>
      </c>
      <c r="K205" s="820">
        <v>5000</v>
      </c>
      <c r="L205" s="1145"/>
    </row>
    <row r="206" spans="1:12" ht="63.75" x14ac:dyDescent="0.25">
      <c r="A206" s="971"/>
      <c r="B206" s="1053"/>
      <c r="C206" s="977"/>
      <c r="D206" s="1048"/>
      <c r="E206" s="1291"/>
      <c r="F206" s="1170"/>
      <c r="G206" s="977"/>
      <c r="H206" s="49" t="s">
        <v>364</v>
      </c>
      <c r="I206" s="842" t="s">
        <v>357</v>
      </c>
      <c r="J206" s="845">
        <v>100</v>
      </c>
      <c r="K206" s="918">
        <v>100</v>
      </c>
      <c r="L206" s="1146"/>
    </row>
    <row r="207" spans="1:12" ht="39" thickBot="1" x14ac:dyDescent="0.3">
      <c r="A207" s="971"/>
      <c r="B207" s="1054"/>
      <c r="C207" s="978"/>
      <c r="D207" s="967"/>
      <c r="E207" s="1292"/>
      <c r="F207" s="1171"/>
      <c r="G207" s="978"/>
      <c r="H207" s="142" t="s">
        <v>365</v>
      </c>
      <c r="I207" s="843" t="s">
        <v>357</v>
      </c>
      <c r="J207" s="846">
        <v>52</v>
      </c>
      <c r="K207" s="849">
        <v>52</v>
      </c>
      <c r="L207" s="1147"/>
    </row>
    <row r="208" spans="1:12" ht="15.75" customHeight="1" x14ac:dyDescent="0.25">
      <c r="A208" s="971"/>
      <c r="B208" s="1252" t="s">
        <v>504</v>
      </c>
      <c r="C208" s="1259" t="s">
        <v>180</v>
      </c>
      <c r="D208" s="777" t="s">
        <v>225</v>
      </c>
      <c r="E208" s="364">
        <f>E209+E210</f>
        <v>42763709.68</v>
      </c>
      <c r="F208" s="347">
        <f>F209+F210</f>
        <v>198000</v>
      </c>
      <c r="G208" s="976"/>
      <c r="H208" s="976"/>
      <c r="I208" s="976"/>
      <c r="J208" s="1097"/>
      <c r="K208" s="1138"/>
      <c r="L208" s="768">
        <f>L209+L210</f>
        <v>42763709.68</v>
      </c>
    </row>
    <row r="209" spans="1:12" ht="15.75" customHeight="1" x14ac:dyDescent="0.25">
      <c r="A209" s="971"/>
      <c r="B209" s="1253"/>
      <c r="C209" s="1260"/>
      <c r="D209" s="778" t="s">
        <v>283</v>
      </c>
      <c r="E209" s="316">
        <f>E212+E215+E218+E221</f>
        <v>16535209.68</v>
      </c>
      <c r="F209" s="771">
        <f>F212+F215+F218+F221</f>
        <v>28583.279999999999</v>
      </c>
      <c r="G209" s="977"/>
      <c r="H209" s="977"/>
      <c r="I209" s="977"/>
      <c r="J209" s="1098"/>
      <c r="K209" s="1139"/>
      <c r="L209" s="467">
        <f>L212+L215+L218+L221</f>
        <v>16535209.68</v>
      </c>
    </row>
    <row r="210" spans="1:12" ht="15.75" customHeight="1" thickBot="1" x14ac:dyDescent="0.3">
      <c r="A210" s="971"/>
      <c r="B210" s="1254"/>
      <c r="C210" s="1261"/>
      <c r="D210" s="779" t="s">
        <v>282</v>
      </c>
      <c r="E210" s="321">
        <f>E213+E216+E219+E222</f>
        <v>26228500</v>
      </c>
      <c r="F210" s="772">
        <f>F213+F216+F219+F222</f>
        <v>169416.72</v>
      </c>
      <c r="G210" s="977"/>
      <c r="H210" s="978"/>
      <c r="I210" s="978"/>
      <c r="J210" s="1099"/>
      <c r="K210" s="1140"/>
      <c r="L210" s="770">
        <f>L213+L216+L219+L222</f>
        <v>26228500</v>
      </c>
    </row>
    <row r="211" spans="1:12" ht="45.75" customHeight="1" x14ac:dyDescent="0.25">
      <c r="A211" s="971"/>
      <c r="B211" s="1052" t="s">
        <v>515</v>
      </c>
      <c r="C211" s="976" t="s">
        <v>180</v>
      </c>
      <c r="D211" s="777" t="s">
        <v>225</v>
      </c>
      <c r="E211" s="364">
        <f>E212+E213</f>
        <v>11045000</v>
      </c>
      <c r="F211" s="343">
        <f>F212+F213</f>
        <v>0</v>
      </c>
      <c r="G211" s="1055" t="s">
        <v>445</v>
      </c>
      <c r="H211" s="1118" t="s">
        <v>552</v>
      </c>
      <c r="I211" s="976" t="s">
        <v>554</v>
      </c>
      <c r="J211" s="1097">
        <v>78.2</v>
      </c>
      <c r="K211" s="1127">
        <v>39.4</v>
      </c>
      <c r="L211" s="353">
        <f>L212+L213</f>
        <v>11045000</v>
      </c>
    </row>
    <row r="212" spans="1:12" ht="45.75" customHeight="1" x14ac:dyDescent="0.25">
      <c r="A212" s="971"/>
      <c r="B212" s="1053"/>
      <c r="C212" s="977"/>
      <c r="D212" s="778" t="s">
        <v>283</v>
      </c>
      <c r="E212" s="316">
        <v>7018900</v>
      </c>
      <c r="F212" s="331">
        <v>0</v>
      </c>
      <c r="G212" s="1056"/>
      <c r="H212" s="1119"/>
      <c r="I212" s="977"/>
      <c r="J212" s="1098"/>
      <c r="K212" s="1128"/>
      <c r="L212" s="919">
        <v>7018900</v>
      </c>
    </row>
    <row r="213" spans="1:12" ht="45.75" customHeight="1" thickBot="1" x14ac:dyDescent="0.3">
      <c r="A213" s="971"/>
      <c r="B213" s="1054"/>
      <c r="C213" s="978"/>
      <c r="D213" s="920" t="s">
        <v>282</v>
      </c>
      <c r="E213" s="321">
        <v>4026100</v>
      </c>
      <c r="F213" s="332">
        <v>0</v>
      </c>
      <c r="G213" s="1057"/>
      <c r="H213" s="1120"/>
      <c r="I213" s="978"/>
      <c r="J213" s="1099"/>
      <c r="K213" s="1129"/>
      <c r="L213" s="921">
        <v>4026100</v>
      </c>
    </row>
    <row r="214" spans="1:12" ht="23.25" customHeight="1" x14ac:dyDescent="0.25">
      <c r="A214" s="971"/>
      <c r="B214" s="1052" t="s">
        <v>516</v>
      </c>
      <c r="C214" s="976" t="s">
        <v>180</v>
      </c>
      <c r="D214" s="777" t="s">
        <v>225</v>
      </c>
      <c r="E214" s="364">
        <f>E215+E216</f>
        <v>23900000</v>
      </c>
      <c r="F214" s="343">
        <f>F215+F216</f>
        <v>0</v>
      </c>
      <c r="G214" s="1055" t="s">
        <v>445</v>
      </c>
      <c r="H214" s="1118" t="s">
        <v>555</v>
      </c>
      <c r="I214" s="976" t="s">
        <v>556</v>
      </c>
      <c r="J214" s="1097">
        <v>22</v>
      </c>
      <c r="K214" s="1127">
        <v>11.95</v>
      </c>
      <c r="L214" s="781">
        <f>L215+L216</f>
        <v>23900000</v>
      </c>
    </row>
    <row r="215" spans="1:12" ht="23.25" customHeight="1" x14ac:dyDescent="0.25">
      <c r="A215" s="971"/>
      <c r="B215" s="1053"/>
      <c r="C215" s="977"/>
      <c r="D215" s="778" t="s">
        <v>283</v>
      </c>
      <c r="E215" s="316">
        <v>8597200</v>
      </c>
      <c r="F215" s="331">
        <v>0</v>
      </c>
      <c r="G215" s="1056"/>
      <c r="H215" s="1119"/>
      <c r="I215" s="977"/>
      <c r="J215" s="1098"/>
      <c r="K215" s="1128"/>
      <c r="L215" s="922">
        <v>8597200</v>
      </c>
    </row>
    <row r="216" spans="1:12" ht="23.25" customHeight="1" thickBot="1" x14ac:dyDescent="0.3">
      <c r="A216" s="971"/>
      <c r="B216" s="1053"/>
      <c r="C216" s="977"/>
      <c r="D216" s="779" t="s">
        <v>282</v>
      </c>
      <c r="E216" s="747">
        <v>15302800</v>
      </c>
      <c r="F216" s="895">
        <v>0</v>
      </c>
      <c r="G216" s="1056"/>
      <c r="H216" s="1120"/>
      <c r="I216" s="978"/>
      <c r="J216" s="1099"/>
      <c r="K216" s="1129"/>
      <c r="L216" s="923">
        <v>15302800</v>
      </c>
    </row>
    <row r="217" spans="1:12" ht="56.25" customHeight="1" x14ac:dyDescent="0.25">
      <c r="A217" s="971"/>
      <c r="B217" s="1052" t="s">
        <v>517</v>
      </c>
      <c r="C217" s="976" t="s">
        <v>180</v>
      </c>
      <c r="D217" s="777" t="s">
        <v>225</v>
      </c>
      <c r="E217" s="364">
        <f>E218+E219</f>
        <v>5000000</v>
      </c>
      <c r="F217" s="343">
        <f>F218+F219</f>
        <v>198000</v>
      </c>
      <c r="G217" s="1055" t="s">
        <v>445</v>
      </c>
      <c r="H217" s="1118" t="s">
        <v>553</v>
      </c>
      <c r="I217" s="976" t="s">
        <v>556</v>
      </c>
      <c r="J217" s="1097">
        <v>1</v>
      </c>
      <c r="K217" s="1127">
        <v>0</v>
      </c>
      <c r="L217" s="781">
        <f>L218+L219</f>
        <v>5000000</v>
      </c>
    </row>
    <row r="218" spans="1:12" ht="56.25" customHeight="1" x14ac:dyDescent="0.25">
      <c r="A218" s="971"/>
      <c r="B218" s="1053"/>
      <c r="C218" s="977"/>
      <c r="D218" s="778" t="s">
        <v>283</v>
      </c>
      <c r="E218" s="316">
        <v>721800</v>
      </c>
      <c r="F218" s="331">
        <v>28583.279999999999</v>
      </c>
      <c r="G218" s="1056"/>
      <c r="H218" s="1119"/>
      <c r="I218" s="977"/>
      <c r="J218" s="1098"/>
      <c r="K218" s="1128"/>
      <c r="L218" s="919">
        <v>721800</v>
      </c>
    </row>
    <row r="219" spans="1:12" ht="56.25" customHeight="1" thickBot="1" x14ac:dyDescent="0.3">
      <c r="A219" s="971"/>
      <c r="B219" s="1054"/>
      <c r="C219" s="978"/>
      <c r="D219" s="920" t="s">
        <v>282</v>
      </c>
      <c r="E219" s="321">
        <v>4278200</v>
      </c>
      <c r="F219" s="332">
        <v>169416.72</v>
      </c>
      <c r="G219" s="1057"/>
      <c r="H219" s="1120"/>
      <c r="I219" s="978"/>
      <c r="J219" s="1099"/>
      <c r="K219" s="1129"/>
      <c r="L219" s="921">
        <v>4278200</v>
      </c>
    </row>
    <row r="220" spans="1:12" ht="68.25" customHeight="1" x14ac:dyDescent="0.25">
      <c r="A220" s="971"/>
      <c r="B220" s="1052" t="s">
        <v>518</v>
      </c>
      <c r="C220" s="976" t="s">
        <v>180</v>
      </c>
      <c r="D220" s="777" t="s">
        <v>225</v>
      </c>
      <c r="E220" s="364">
        <f>E221+E222</f>
        <v>2818709.68</v>
      </c>
      <c r="F220" s="343">
        <f>F221+F222</f>
        <v>0</v>
      </c>
      <c r="G220" s="1055" t="s">
        <v>445</v>
      </c>
      <c r="H220" s="75" t="s">
        <v>557</v>
      </c>
      <c r="I220" s="841" t="s">
        <v>556</v>
      </c>
      <c r="J220" s="844">
        <v>87</v>
      </c>
      <c r="K220" s="819">
        <v>43.5</v>
      </c>
      <c r="L220" s="781">
        <f>L221+L222</f>
        <v>2818709.68</v>
      </c>
    </row>
    <row r="221" spans="1:12" ht="105" customHeight="1" x14ac:dyDescent="0.25">
      <c r="A221" s="971"/>
      <c r="B221" s="1053"/>
      <c r="C221" s="977"/>
      <c r="D221" s="778" t="s">
        <v>283</v>
      </c>
      <c r="E221" s="316">
        <v>197309.68</v>
      </c>
      <c r="F221" s="331">
        <v>0</v>
      </c>
      <c r="G221" s="1056"/>
      <c r="H221" s="1119" t="s">
        <v>558</v>
      </c>
      <c r="I221" s="1164" t="s">
        <v>559</v>
      </c>
      <c r="J221" s="1167">
        <v>1</v>
      </c>
      <c r="K221" s="1141">
        <v>1</v>
      </c>
      <c r="L221" s="919">
        <v>197309.68</v>
      </c>
    </row>
    <row r="222" spans="1:12" ht="105" customHeight="1" thickBot="1" x14ac:dyDescent="0.3">
      <c r="A222" s="972"/>
      <c r="B222" s="1053"/>
      <c r="C222" s="977"/>
      <c r="D222" s="779" t="s">
        <v>282</v>
      </c>
      <c r="E222" s="747">
        <v>2621400</v>
      </c>
      <c r="F222" s="895">
        <v>0</v>
      </c>
      <c r="G222" s="1056"/>
      <c r="H222" s="1119"/>
      <c r="I222" s="977"/>
      <c r="J222" s="1098"/>
      <c r="K222" s="1128"/>
      <c r="L222" s="924">
        <v>2621400</v>
      </c>
    </row>
    <row r="223" spans="1:12" ht="27.75" customHeight="1" x14ac:dyDescent="0.25">
      <c r="A223" s="837"/>
      <c r="B223" s="1284" t="s">
        <v>629</v>
      </c>
      <c r="C223" s="1287" t="s">
        <v>180</v>
      </c>
      <c r="D223" s="766" t="s">
        <v>225</v>
      </c>
      <c r="E223" s="364">
        <f>E224+E225</f>
        <v>128991365.69</v>
      </c>
      <c r="F223" s="347">
        <f>F224+F225</f>
        <v>64361481.450000003</v>
      </c>
      <c r="G223" s="1156"/>
      <c r="H223" s="976"/>
      <c r="I223" s="976"/>
      <c r="J223" s="1097"/>
      <c r="K223" s="1127"/>
      <c r="L223" s="781">
        <f>SUM(L224:L225)</f>
        <v>128991365.69</v>
      </c>
    </row>
    <row r="224" spans="1:12" ht="27.75" customHeight="1" x14ac:dyDescent="0.25">
      <c r="A224" s="837"/>
      <c r="B224" s="1285"/>
      <c r="C224" s="1288"/>
      <c r="D224" s="856" t="s">
        <v>283</v>
      </c>
      <c r="E224" s="316">
        <f>E227+E230+E233</f>
        <v>128991365.69</v>
      </c>
      <c r="F224" s="771">
        <f>F227+F230+F233</f>
        <v>64361481.450000003</v>
      </c>
      <c r="G224" s="1157"/>
      <c r="H224" s="977"/>
      <c r="I224" s="977"/>
      <c r="J224" s="1098"/>
      <c r="K224" s="1128"/>
      <c r="L224" s="800">
        <f>L227+L230+L233</f>
        <v>128991365.69</v>
      </c>
    </row>
    <row r="225" spans="1:12" ht="27.75" customHeight="1" thickBot="1" x14ac:dyDescent="0.3">
      <c r="A225" s="837"/>
      <c r="B225" s="1286"/>
      <c r="C225" s="1289"/>
      <c r="D225" s="769" t="s">
        <v>282</v>
      </c>
      <c r="E225" s="321">
        <f>E228+E231+E234</f>
        <v>0</v>
      </c>
      <c r="F225" s="780">
        <f>F228+F231+F234</f>
        <v>0</v>
      </c>
      <c r="G225" s="1164"/>
      <c r="H225" s="977"/>
      <c r="I225" s="977"/>
      <c r="J225" s="1098"/>
      <c r="K225" s="1128"/>
      <c r="L225" s="801">
        <f>L228+L231+L234</f>
        <v>0</v>
      </c>
    </row>
    <row r="226" spans="1:12" ht="261" customHeight="1" x14ac:dyDescent="0.25">
      <c r="A226" s="837"/>
      <c r="B226" s="1052" t="s">
        <v>24</v>
      </c>
      <c r="C226" s="976"/>
      <c r="D226" s="766" t="s">
        <v>225</v>
      </c>
      <c r="E226" s="364">
        <f>E227+E228</f>
        <v>9573823.9600000009</v>
      </c>
      <c r="F226" s="486">
        <f>F227+F228</f>
        <v>4739516.8099999996</v>
      </c>
      <c r="G226" s="841" t="s">
        <v>445</v>
      </c>
      <c r="H226" s="146" t="s">
        <v>354</v>
      </c>
      <c r="I226" s="841" t="s">
        <v>357</v>
      </c>
      <c r="J226" s="844">
        <v>200</v>
      </c>
      <c r="K226" s="819">
        <v>205.5</v>
      </c>
      <c r="L226" s="781">
        <f>L227+L228</f>
        <v>9573823.9600000009</v>
      </c>
    </row>
    <row r="227" spans="1:12" ht="172.5" customHeight="1" x14ac:dyDescent="0.25">
      <c r="A227" s="837"/>
      <c r="B227" s="1053"/>
      <c r="C227" s="977"/>
      <c r="D227" s="856" t="s">
        <v>283</v>
      </c>
      <c r="E227" s="316">
        <v>9573823.9600000009</v>
      </c>
      <c r="F227" s="467">
        <v>4739516.8099999996</v>
      </c>
      <c r="G227" s="842"/>
      <c r="H227" s="135" t="s">
        <v>355</v>
      </c>
      <c r="I227" s="842" t="s">
        <v>357</v>
      </c>
      <c r="J227" s="845">
        <v>100</v>
      </c>
      <c r="K227" s="820">
        <v>106.2</v>
      </c>
      <c r="L227" s="800">
        <v>9573823.9600000009</v>
      </c>
    </row>
    <row r="228" spans="1:12" ht="157.5" customHeight="1" thickBot="1" x14ac:dyDescent="0.3">
      <c r="A228" s="837"/>
      <c r="B228" s="1054"/>
      <c r="C228" s="978"/>
      <c r="D228" s="857" t="s">
        <v>282</v>
      </c>
      <c r="E228" s="321">
        <v>0</v>
      </c>
      <c r="F228" s="469">
        <v>0</v>
      </c>
      <c r="G228" s="843"/>
      <c r="H228" s="136" t="s">
        <v>613</v>
      </c>
      <c r="I228" s="843" t="s">
        <v>357</v>
      </c>
      <c r="J228" s="846">
        <v>100</v>
      </c>
      <c r="K228" s="793">
        <v>101.9</v>
      </c>
      <c r="L228" s="915">
        <v>0</v>
      </c>
    </row>
    <row r="229" spans="1:12" ht="55.5" customHeight="1" x14ac:dyDescent="0.25">
      <c r="A229" s="823"/>
      <c r="B229" s="1052" t="s">
        <v>80</v>
      </c>
      <c r="C229" s="976" t="s">
        <v>180</v>
      </c>
      <c r="D229" s="766" t="s">
        <v>225</v>
      </c>
      <c r="E229" s="349">
        <f>E230+E231</f>
        <v>110774541.73</v>
      </c>
      <c r="F229" s="343">
        <f>F230+F231</f>
        <v>55300464.640000001</v>
      </c>
      <c r="G229" s="1055"/>
      <c r="H229" s="1296" t="s">
        <v>371</v>
      </c>
      <c r="I229" s="1156" t="s">
        <v>357</v>
      </c>
      <c r="J229" s="1097">
        <v>100</v>
      </c>
      <c r="K229" s="1168">
        <v>100</v>
      </c>
      <c r="L229" s="486">
        <f>L230+L231</f>
        <v>110774541.73</v>
      </c>
    </row>
    <row r="230" spans="1:12" ht="55.5" customHeight="1" x14ac:dyDescent="0.25">
      <c r="A230" s="823"/>
      <c r="B230" s="1053"/>
      <c r="C230" s="977"/>
      <c r="D230" s="856" t="s">
        <v>283</v>
      </c>
      <c r="E230" s="350">
        <v>110774541.73</v>
      </c>
      <c r="F230" s="331">
        <v>55300464.640000001</v>
      </c>
      <c r="G230" s="1056"/>
      <c r="H230" s="1272"/>
      <c r="I230" s="1157"/>
      <c r="J230" s="1174"/>
      <c r="K230" s="1155"/>
      <c r="L230" s="467">
        <v>110774541.73</v>
      </c>
    </row>
    <row r="231" spans="1:12" ht="46.5" customHeight="1" thickBot="1" x14ac:dyDescent="0.3">
      <c r="A231" s="823"/>
      <c r="B231" s="1054"/>
      <c r="C231" s="978"/>
      <c r="D231" s="857" t="s">
        <v>282</v>
      </c>
      <c r="E231" s="351">
        <f>0</f>
        <v>0</v>
      </c>
      <c r="F231" s="332">
        <v>0</v>
      </c>
      <c r="G231" s="1057"/>
      <c r="H231" s="142" t="s">
        <v>372</v>
      </c>
      <c r="I231" s="843" t="s">
        <v>359</v>
      </c>
      <c r="J231" s="846">
        <v>5000</v>
      </c>
      <c r="K231" s="793">
        <v>2509.107</v>
      </c>
      <c r="L231" s="469">
        <v>0</v>
      </c>
    </row>
    <row r="232" spans="1:12" ht="22.5" customHeight="1" x14ac:dyDescent="0.25">
      <c r="A232" s="823"/>
      <c r="B232" s="1053" t="s">
        <v>51</v>
      </c>
      <c r="C232" s="976" t="s">
        <v>180</v>
      </c>
      <c r="D232" s="897" t="s">
        <v>225</v>
      </c>
      <c r="E232" s="898">
        <f>E233+E234</f>
        <v>8643000</v>
      </c>
      <c r="F232" s="899">
        <f>F233+F234</f>
        <v>4321500</v>
      </c>
      <c r="G232" s="977" t="s">
        <v>445</v>
      </c>
      <c r="H232" s="1118" t="s">
        <v>373</v>
      </c>
      <c r="I232" s="976" t="s">
        <v>374</v>
      </c>
      <c r="J232" s="1106">
        <v>12.7</v>
      </c>
      <c r="K232" s="1151">
        <v>7.45</v>
      </c>
      <c r="L232" s="353">
        <f>L233+L234</f>
        <v>8643000</v>
      </c>
    </row>
    <row r="233" spans="1:12" ht="22.5" customHeight="1" x14ac:dyDescent="0.25">
      <c r="A233" s="823"/>
      <c r="B233" s="1053"/>
      <c r="C233" s="977"/>
      <c r="D233" s="856" t="s">
        <v>283</v>
      </c>
      <c r="E233" s="350">
        <v>8643000</v>
      </c>
      <c r="F233" s="331">
        <v>4321500</v>
      </c>
      <c r="G233" s="977"/>
      <c r="H233" s="1119"/>
      <c r="I233" s="977"/>
      <c r="J233" s="1107"/>
      <c r="K233" s="1152"/>
      <c r="L233" s="145">
        <v>8643000</v>
      </c>
    </row>
    <row r="234" spans="1:12" ht="22.5" customHeight="1" thickBot="1" x14ac:dyDescent="0.3">
      <c r="A234" s="823"/>
      <c r="B234" s="1054"/>
      <c r="C234" s="978"/>
      <c r="D234" s="857" t="s">
        <v>282</v>
      </c>
      <c r="E234" s="351">
        <f>0</f>
        <v>0</v>
      </c>
      <c r="F234" s="332">
        <v>0</v>
      </c>
      <c r="G234" s="978"/>
      <c r="H234" s="1120"/>
      <c r="I234" s="978"/>
      <c r="J234" s="1108"/>
      <c r="K234" s="1153"/>
      <c r="L234" s="352">
        <v>0</v>
      </c>
    </row>
    <row r="235" spans="1:12" s="1" customFormat="1" x14ac:dyDescent="0.25">
      <c r="A235" s="970"/>
      <c r="B235" s="955" t="s">
        <v>77</v>
      </c>
      <c r="C235" s="1002" t="s">
        <v>180</v>
      </c>
      <c r="D235" s="865" t="s">
        <v>225</v>
      </c>
      <c r="E235" s="365">
        <f>E236+E237</f>
        <v>101836800</v>
      </c>
      <c r="F235" s="797">
        <f>F236+F237</f>
        <v>25255099.98</v>
      </c>
      <c r="G235" s="1002"/>
      <c r="H235" s="1002"/>
      <c r="I235" s="1002"/>
      <c r="J235" s="1067"/>
      <c r="K235" s="1036"/>
      <c r="L235" s="484">
        <f>L236+L237</f>
        <v>50510200</v>
      </c>
    </row>
    <row r="236" spans="1:12" s="1" customFormat="1" x14ac:dyDescent="0.25">
      <c r="A236" s="971"/>
      <c r="B236" s="956"/>
      <c r="C236" s="1003"/>
      <c r="D236" s="869" t="s">
        <v>283</v>
      </c>
      <c r="E236" s="366">
        <f>E239</f>
        <v>50510200</v>
      </c>
      <c r="F236" s="773">
        <f>F239</f>
        <v>25255099.98</v>
      </c>
      <c r="G236" s="1003"/>
      <c r="H236" s="1003"/>
      <c r="I236" s="1003"/>
      <c r="J236" s="1068"/>
      <c r="K236" s="1037"/>
      <c r="L236" s="485">
        <f>L239</f>
        <v>50510200</v>
      </c>
    </row>
    <row r="237" spans="1:12" s="1" customFormat="1" ht="15.75" thickBot="1" x14ac:dyDescent="0.3">
      <c r="A237" s="971"/>
      <c r="B237" s="957"/>
      <c r="C237" s="1004"/>
      <c r="D237" s="873" t="s">
        <v>282</v>
      </c>
      <c r="E237" s="367">
        <f>E240</f>
        <v>51326600</v>
      </c>
      <c r="F237" s="774">
        <f>F240</f>
        <v>0</v>
      </c>
      <c r="G237" s="1004"/>
      <c r="H237" s="1004"/>
      <c r="I237" s="1004"/>
      <c r="J237" s="1069"/>
      <c r="K237" s="1038"/>
      <c r="L237" s="488">
        <f>L240</f>
        <v>0</v>
      </c>
    </row>
    <row r="238" spans="1:12" x14ac:dyDescent="0.25">
      <c r="A238" s="971"/>
      <c r="B238" s="1121" t="s">
        <v>78</v>
      </c>
      <c r="C238" s="976"/>
      <c r="D238" s="766" t="s">
        <v>225</v>
      </c>
      <c r="E238" s="364">
        <f>E239+E240</f>
        <v>101836800</v>
      </c>
      <c r="F238" s="347">
        <f>F239+F240</f>
        <v>25255099.98</v>
      </c>
      <c r="G238" s="976"/>
      <c r="H238" s="976"/>
      <c r="I238" s="976"/>
      <c r="J238" s="1097"/>
      <c r="K238" s="1042"/>
      <c r="L238" s="486">
        <f>L239+L240</f>
        <v>50510200</v>
      </c>
    </row>
    <row r="239" spans="1:12" x14ac:dyDescent="0.25">
      <c r="A239" s="971"/>
      <c r="B239" s="1122"/>
      <c r="C239" s="977"/>
      <c r="D239" s="856" t="s">
        <v>283</v>
      </c>
      <c r="E239" s="316">
        <f>E242+E245</f>
        <v>50510200</v>
      </c>
      <c r="F239" s="771">
        <f>F242+F245</f>
        <v>25255099.98</v>
      </c>
      <c r="G239" s="977"/>
      <c r="H239" s="977"/>
      <c r="I239" s="977"/>
      <c r="J239" s="1098"/>
      <c r="K239" s="1043"/>
      <c r="L239" s="467">
        <f>L242+L245</f>
        <v>50510200</v>
      </c>
    </row>
    <row r="240" spans="1:12" ht="15.75" thickBot="1" x14ac:dyDescent="0.3">
      <c r="A240" s="971"/>
      <c r="B240" s="1123"/>
      <c r="C240" s="978"/>
      <c r="D240" s="857" t="s">
        <v>282</v>
      </c>
      <c r="E240" s="321">
        <f>E243+E246</f>
        <v>51326600</v>
      </c>
      <c r="F240" s="772">
        <f>F243+F246</f>
        <v>0</v>
      </c>
      <c r="G240" s="978"/>
      <c r="H240" s="978"/>
      <c r="I240" s="978"/>
      <c r="J240" s="1099"/>
      <c r="K240" s="1044"/>
      <c r="L240" s="469">
        <f>L243+L246</f>
        <v>0</v>
      </c>
    </row>
    <row r="241" spans="1:12" ht="56.25" customHeight="1" x14ac:dyDescent="0.25">
      <c r="A241" s="971"/>
      <c r="B241" s="1053" t="s">
        <v>560</v>
      </c>
      <c r="C241" s="976" t="s">
        <v>180</v>
      </c>
      <c r="D241" s="897" t="s">
        <v>225</v>
      </c>
      <c r="E241" s="898">
        <f>E242+E243</f>
        <v>50510200</v>
      </c>
      <c r="F241" s="899">
        <f>F242+F243</f>
        <v>25255099.98</v>
      </c>
      <c r="G241" s="976" t="s">
        <v>445</v>
      </c>
      <c r="H241" s="459" t="s">
        <v>367</v>
      </c>
      <c r="I241" s="917" t="s">
        <v>368</v>
      </c>
      <c r="J241" s="925">
        <v>54950</v>
      </c>
      <c r="K241" s="926">
        <v>22349</v>
      </c>
      <c r="L241" s="768">
        <f>L242+L243</f>
        <v>50510200</v>
      </c>
    </row>
    <row r="242" spans="1:12" ht="56.25" customHeight="1" x14ac:dyDescent="0.25">
      <c r="A242" s="971"/>
      <c r="B242" s="1053"/>
      <c r="C242" s="977"/>
      <c r="D242" s="856" t="s">
        <v>283</v>
      </c>
      <c r="E242" s="350">
        <f>'таблица (всего)'!G73</f>
        <v>50510200</v>
      </c>
      <c r="F242" s="331">
        <v>25255099.98</v>
      </c>
      <c r="G242" s="977"/>
      <c r="H242" s="1133" t="s">
        <v>369</v>
      </c>
      <c r="I242" s="1164" t="s">
        <v>370</v>
      </c>
      <c r="J242" s="1167">
        <v>8350</v>
      </c>
      <c r="K242" s="1141">
        <v>3480</v>
      </c>
      <c r="L242" s="467">
        <v>50510200</v>
      </c>
    </row>
    <row r="243" spans="1:12" ht="56.25" customHeight="1" thickBot="1" x14ac:dyDescent="0.3">
      <c r="A243" s="972"/>
      <c r="B243" s="1054"/>
      <c r="C243" s="978"/>
      <c r="D243" s="769" t="s">
        <v>282</v>
      </c>
      <c r="E243" s="894">
        <f>0</f>
        <v>0</v>
      </c>
      <c r="F243" s="895">
        <v>0</v>
      </c>
      <c r="G243" s="977"/>
      <c r="H243" s="1119"/>
      <c r="I243" s="977"/>
      <c r="J243" s="1098"/>
      <c r="K243" s="1128"/>
      <c r="L243" s="770">
        <v>0</v>
      </c>
    </row>
    <row r="244" spans="1:12" ht="85.5" customHeight="1" x14ac:dyDescent="0.25">
      <c r="A244" s="970"/>
      <c r="B244" s="1052" t="s">
        <v>669</v>
      </c>
      <c r="C244" s="1055" t="s">
        <v>180</v>
      </c>
      <c r="D244" s="766" t="s">
        <v>225</v>
      </c>
      <c r="E244" s="927">
        <f>E245+E246</f>
        <v>51326600</v>
      </c>
      <c r="F244" s="928">
        <f>F245+F246</f>
        <v>0</v>
      </c>
      <c r="G244" s="841"/>
      <c r="H244" s="146" t="s">
        <v>670</v>
      </c>
      <c r="I244" s="841" t="s">
        <v>673</v>
      </c>
      <c r="J244" s="844">
        <v>100</v>
      </c>
      <c r="K244" s="819">
        <v>0</v>
      </c>
      <c r="L244" s="929">
        <f>L245+L246</f>
        <v>0</v>
      </c>
    </row>
    <row r="245" spans="1:12" ht="159.75" customHeight="1" x14ac:dyDescent="0.25">
      <c r="A245" s="971"/>
      <c r="B245" s="1053"/>
      <c r="C245" s="1056"/>
      <c r="D245" s="856" t="s">
        <v>283</v>
      </c>
      <c r="E245" s="316">
        <v>0</v>
      </c>
      <c r="F245" s="331">
        <v>0</v>
      </c>
      <c r="G245" s="842"/>
      <c r="H245" s="135" t="s">
        <v>671</v>
      </c>
      <c r="I245" s="842" t="s">
        <v>673</v>
      </c>
      <c r="J245" s="845">
        <v>100</v>
      </c>
      <c r="K245" s="820">
        <v>0</v>
      </c>
      <c r="L245" s="467">
        <v>0</v>
      </c>
    </row>
    <row r="246" spans="1:12" ht="99.75" customHeight="1" thickBot="1" x14ac:dyDescent="0.3">
      <c r="A246" s="972"/>
      <c r="B246" s="1054"/>
      <c r="C246" s="1057"/>
      <c r="D246" s="857" t="s">
        <v>282</v>
      </c>
      <c r="E246" s="321">
        <v>51326600</v>
      </c>
      <c r="F246" s="332">
        <v>0</v>
      </c>
      <c r="G246" s="843"/>
      <c r="H246" s="136" t="s">
        <v>672</v>
      </c>
      <c r="I246" s="843" t="s">
        <v>673</v>
      </c>
      <c r="J246" s="846">
        <v>100</v>
      </c>
      <c r="K246" s="793">
        <v>0</v>
      </c>
      <c r="L246" s="469">
        <v>0</v>
      </c>
    </row>
    <row r="247" spans="1:12" ht="15" customHeight="1" x14ac:dyDescent="0.25">
      <c r="A247" s="1262"/>
      <c r="B247" s="955" t="s">
        <v>81</v>
      </c>
      <c r="C247" s="1002" t="s">
        <v>180</v>
      </c>
      <c r="D247" s="880" t="s">
        <v>225</v>
      </c>
      <c r="E247" s="372">
        <f>E248+E249+E250</f>
        <v>148452083.37</v>
      </c>
      <c r="F247" s="881">
        <f>F248+F249+F250</f>
        <v>66605897.080000006</v>
      </c>
      <c r="G247" s="1003"/>
      <c r="H247" s="1003"/>
      <c r="I247" s="1113"/>
      <c r="J247" s="1034"/>
      <c r="K247" s="1037"/>
      <c r="L247" s="854">
        <f>L248+L249+L250</f>
        <v>148452083.37</v>
      </c>
    </row>
    <row r="248" spans="1:12" x14ac:dyDescent="0.25">
      <c r="A248" s="1246"/>
      <c r="B248" s="956"/>
      <c r="C248" s="1003"/>
      <c r="D248" s="869" t="s">
        <v>283</v>
      </c>
      <c r="E248" s="366">
        <f>E252+E293+E299+E305+E311+E322+E328</f>
        <v>146480483.37</v>
      </c>
      <c r="F248" s="773">
        <f>F252+F293+F299+F305+F311+F322+F328</f>
        <v>65856225.700000003</v>
      </c>
      <c r="G248" s="1003"/>
      <c r="H248" s="1003"/>
      <c r="I248" s="1113"/>
      <c r="J248" s="1034"/>
      <c r="K248" s="1037"/>
      <c r="L248" s="485">
        <f>L252+L293+L299+L305+L311+L322+L328</f>
        <v>146480483.37</v>
      </c>
    </row>
    <row r="249" spans="1:12" x14ac:dyDescent="0.25">
      <c r="A249" s="1246"/>
      <c r="B249" s="956"/>
      <c r="C249" s="1003"/>
      <c r="D249" s="782" t="s">
        <v>282</v>
      </c>
      <c r="E249" s="783">
        <f>E294+E300+E306+E312+E323+E329</f>
        <v>1971600</v>
      </c>
      <c r="F249" s="802">
        <f>F294+F300+F306+F312+F323+F329</f>
        <v>749671.38</v>
      </c>
      <c r="G249" s="1003"/>
      <c r="H249" s="1003"/>
      <c r="I249" s="1113"/>
      <c r="J249" s="1034"/>
      <c r="K249" s="1037"/>
      <c r="L249" s="784">
        <f>L294+L300+L306+L312+L323+L329</f>
        <v>1971600</v>
      </c>
    </row>
    <row r="250" spans="1:12" ht="15.75" thickBot="1" x14ac:dyDescent="0.3">
      <c r="A250" s="1246"/>
      <c r="B250" s="957"/>
      <c r="C250" s="1004"/>
      <c r="D250" s="873" t="s">
        <v>281</v>
      </c>
      <c r="E250" s="367">
        <f>E253</f>
        <v>0</v>
      </c>
      <c r="F250" s="774">
        <f>F253</f>
        <v>0</v>
      </c>
      <c r="G250" s="1004"/>
      <c r="H250" s="1004"/>
      <c r="I250" s="1114"/>
      <c r="J250" s="1035"/>
      <c r="K250" s="1038"/>
      <c r="L250" s="488">
        <f>L253</f>
        <v>0</v>
      </c>
    </row>
    <row r="251" spans="1:12" ht="23.25" customHeight="1" x14ac:dyDescent="0.25">
      <c r="A251" s="1246"/>
      <c r="B251" s="1121" t="s">
        <v>82</v>
      </c>
      <c r="C251" s="976"/>
      <c r="D251" s="766" t="s">
        <v>225</v>
      </c>
      <c r="E251" s="364">
        <f>E252+E253</f>
        <v>55455979.079999998</v>
      </c>
      <c r="F251" s="347">
        <f>F252+F253</f>
        <v>24091875.579999998</v>
      </c>
      <c r="G251" s="976"/>
      <c r="H251" s="976"/>
      <c r="I251" s="976"/>
      <c r="J251" s="1097"/>
      <c r="K251" s="1042"/>
      <c r="L251" s="353">
        <f>L252+L253</f>
        <v>55455979.079999998</v>
      </c>
    </row>
    <row r="252" spans="1:12" ht="23.25" customHeight="1" x14ac:dyDescent="0.25">
      <c r="A252" s="1246"/>
      <c r="B252" s="1122"/>
      <c r="C252" s="977"/>
      <c r="D252" s="856" t="s">
        <v>283</v>
      </c>
      <c r="E252" s="316">
        <f>E255+E280</f>
        <v>55455979.079999998</v>
      </c>
      <c r="F252" s="771">
        <f>F255+F280</f>
        <v>24091875.579999998</v>
      </c>
      <c r="G252" s="977"/>
      <c r="H252" s="977"/>
      <c r="I252" s="977"/>
      <c r="J252" s="1098"/>
      <c r="K252" s="1043"/>
      <c r="L252" s="145">
        <f>L255+L280</f>
        <v>55455979.079999998</v>
      </c>
    </row>
    <row r="253" spans="1:12" ht="23.25" customHeight="1" thickBot="1" x14ac:dyDescent="0.3">
      <c r="A253" s="1246"/>
      <c r="B253" s="1123"/>
      <c r="C253" s="978"/>
      <c r="D253" s="857" t="s">
        <v>281</v>
      </c>
      <c r="E253" s="321">
        <f>E256+E281</f>
        <v>0</v>
      </c>
      <c r="F253" s="772">
        <f>F256+F281</f>
        <v>0</v>
      </c>
      <c r="G253" s="978"/>
      <c r="H253" s="978"/>
      <c r="I253" s="978"/>
      <c r="J253" s="1099"/>
      <c r="K253" s="1044"/>
      <c r="L253" s="352">
        <f>L256+L281</f>
        <v>0</v>
      </c>
    </row>
    <row r="254" spans="1:12" ht="24.75" customHeight="1" x14ac:dyDescent="0.25">
      <c r="A254" s="1246"/>
      <c r="B254" s="1052" t="s">
        <v>39</v>
      </c>
      <c r="C254" s="976" t="s">
        <v>180</v>
      </c>
      <c r="D254" s="766" t="s">
        <v>225</v>
      </c>
      <c r="E254" s="349">
        <f>E255+E256</f>
        <v>7406334.3200000003</v>
      </c>
      <c r="F254" s="343">
        <f>F255+F256</f>
        <v>3085000</v>
      </c>
      <c r="G254" s="976" t="s">
        <v>445</v>
      </c>
      <c r="H254" s="1118" t="s">
        <v>354</v>
      </c>
      <c r="I254" s="976" t="s">
        <v>357</v>
      </c>
      <c r="J254" s="1097">
        <v>200</v>
      </c>
      <c r="K254" s="1042">
        <v>205.5</v>
      </c>
      <c r="L254" s="353">
        <f>L255+L256</f>
        <v>7406334.3200000003</v>
      </c>
    </row>
    <row r="255" spans="1:12" ht="24.75" customHeight="1" x14ac:dyDescent="0.25">
      <c r="A255" s="1246"/>
      <c r="B255" s="1053"/>
      <c r="C255" s="977"/>
      <c r="D255" s="856" t="s">
        <v>283</v>
      </c>
      <c r="E255" s="350">
        <v>7406334.3200000003</v>
      </c>
      <c r="F255" s="331">
        <v>3085000</v>
      </c>
      <c r="G255" s="977"/>
      <c r="H255" s="1119"/>
      <c r="I255" s="977"/>
      <c r="J255" s="1098"/>
      <c r="K255" s="1043"/>
      <c r="L255" s="145">
        <v>7406334.3200000003</v>
      </c>
    </row>
    <row r="256" spans="1:12" ht="24.75" customHeight="1" thickBot="1" x14ac:dyDescent="0.3">
      <c r="A256" s="1246"/>
      <c r="B256" s="1053"/>
      <c r="C256" s="977"/>
      <c r="D256" s="857" t="s">
        <v>281</v>
      </c>
      <c r="E256" s="351">
        <f>0</f>
        <v>0</v>
      </c>
      <c r="F256" s="332">
        <v>0</v>
      </c>
      <c r="G256" s="977"/>
      <c r="H256" s="1119"/>
      <c r="I256" s="977"/>
      <c r="J256" s="1098"/>
      <c r="K256" s="1043"/>
      <c r="L256" s="352">
        <v>0</v>
      </c>
    </row>
    <row r="257" spans="1:12" ht="24.75" customHeight="1" x14ac:dyDescent="0.25">
      <c r="A257" s="1246"/>
      <c r="B257" s="1053"/>
      <c r="C257" s="977"/>
      <c r="D257" s="1048"/>
      <c r="E257" s="1135"/>
      <c r="F257" s="1138"/>
      <c r="G257" s="977"/>
      <c r="H257" s="1119"/>
      <c r="I257" s="977"/>
      <c r="J257" s="1098"/>
      <c r="K257" s="1043"/>
      <c r="L257" s="976"/>
    </row>
    <row r="258" spans="1:12" ht="24.75" customHeight="1" x14ac:dyDescent="0.25">
      <c r="A258" s="1246"/>
      <c r="B258" s="1053"/>
      <c r="C258" s="977"/>
      <c r="D258" s="1048"/>
      <c r="E258" s="1136"/>
      <c r="F258" s="1139"/>
      <c r="G258" s="977"/>
      <c r="H258" s="1119"/>
      <c r="I258" s="977"/>
      <c r="J258" s="1098"/>
      <c r="K258" s="1043"/>
      <c r="L258" s="977"/>
    </row>
    <row r="259" spans="1:12" ht="24.75" customHeight="1" x14ac:dyDescent="0.25">
      <c r="A259" s="1246"/>
      <c r="B259" s="1053"/>
      <c r="C259" s="977"/>
      <c r="D259" s="1048"/>
      <c r="E259" s="1136"/>
      <c r="F259" s="1139"/>
      <c r="G259" s="977"/>
      <c r="H259" s="1119"/>
      <c r="I259" s="977"/>
      <c r="J259" s="1098"/>
      <c r="K259" s="1043"/>
      <c r="L259" s="977"/>
    </row>
    <row r="260" spans="1:12" ht="24.75" customHeight="1" x14ac:dyDescent="0.25">
      <c r="A260" s="1246"/>
      <c r="B260" s="1053"/>
      <c r="C260" s="977"/>
      <c r="D260" s="1048"/>
      <c r="E260" s="1136"/>
      <c r="F260" s="1139"/>
      <c r="G260" s="977"/>
      <c r="H260" s="1119"/>
      <c r="I260" s="977"/>
      <c r="J260" s="1098"/>
      <c r="K260" s="1043"/>
      <c r="L260" s="977"/>
    </row>
    <row r="261" spans="1:12" ht="24.75" customHeight="1" x14ac:dyDescent="0.25">
      <c r="A261" s="1246"/>
      <c r="B261" s="1053"/>
      <c r="C261" s="977"/>
      <c r="D261" s="1048"/>
      <c r="E261" s="1136"/>
      <c r="F261" s="1139"/>
      <c r="G261" s="977"/>
      <c r="H261" s="1119"/>
      <c r="I261" s="977"/>
      <c r="J261" s="1098"/>
      <c r="K261" s="1043"/>
      <c r="L261" s="977"/>
    </row>
    <row r="262" spans="1:12" ht="24.75" customHeight="1" x14ac:dyDescent="0.25">
      <c r="A262" s="1246"/>
      <c r="B262" s="1053"/>
      <c r="C262" s="977"/>
      <c r="D262" s="1048"/>
      <c r="E262" s="1136"/>
      <c r="F262" s="1139"/>
      <c r="G262" s="977"/>
      <c r="H262" s="1119"/>
      <c r="I262" s="977"/>
      <c r="J262" s="1098"/>
      <c r="K262" s="1043"/>
      <c r="L262" s="977"/>
    </row>
    <row r="263" spans="1:12" ht="24.75" customHeight="1" x14ac:dyDescent="0.25">
      <c r="A263" s="1246"/>
      <c r="B263" s="1053"/>
      <c r="C263" s="977"/>
      <c r="D263" s="1048"/>
      <c r="E263" s="1136"/>
      <c r="F263" s="1139"/>
      <c r="G263" s="977"/>
      <c r="H263" s="1119"/>
      <c r="I263" s="977"/>
      <c r="J263" s="1098"/>
      <c r="K263" s="1043"/>
      <c r="L263" s="977"/>
    </row>
    <row r="264" spans="1:12" ht="24.75" customHeight="1" x14ac:dyDescent="0.25">
      <c r="A264" s="1246"/>
      <c r="B264" s="1053"/>
      <c r="C264" s="977"/>
      <c r="D264" s="1048"/>
      <c r="E264" s="1136"/>
      <c r="F264" s="1139"/>
      <c r="G264" s="977"/>
      <c r="H264" s="1119"/>
      <c r="I264" s="977"/>
      <c r="J264" s="1098"/>
      <c r="K264" s="1165"/>
      <c r="L264" s="977"/>
    </row>
    <row r="265" spans="1:12" ht="24.75" customHeight="1" x14ac:dyDescent="0.25">
      <c r="A265" s="1246"/>
      <c r="B265" s="1053"/>
      <c r="C265" s="977"/>
      <c r="D265" s="1048"/>
      <c r="E265" s="1136"/>
      <c r="F265" s="1139"/>
      <c r="G265" s="977"/>
      <c r="H265" s="1133" t="s">
        <v>355</v>
      </c>
      <c r="I265" s="1164" t="s">
        <v>357</v>
      </c>
      <c r="J265" s="1167">
        <v>100</v>
      </c>
      <c r="K265" s="1166">
        <v>106.2</v>
      </c>
      <c r="L265" s="977"/>
    </row>
    <row r="266" spans="1:12" ht="24.75" customHeight="1" x14ac:dyDescent="0.25">
      <c r="A266" s="1246"/>
      <c r="B266" s="1053"/>
      <c r="C266" s="977"/>
      <c r="D266" s="1048"/>
      <c r="E266" s="1136"/>
      <c r="F266" s="1139"/>
      <c r="G266" s="977"/>
      <c r="H266" s="1119"/>
      <c r="I266" s="977"/>
      <c r="J266" s="1098"/>
      <c r="K266" s="1043"/>
      <c r="L266" s="977"/>
    </row>
    <row r="267" spans="1:12" ht="24.75" customHeight="1" x14ac:dyDescent="0.25">
      <c r="A267" s="1246"/>
      <c r="B267" s="1053"/>
      <c r="C267" s="977"/>
      <c r="D267" s="1048"/>
      <c r="E267" s="1136"/>
      <c r="F267" s="1139"/>
      <c r="G267" s="977"/>
      <c r="H267" s="1119"/>
      <c r="I267" s="977"/>
      <c r="J267" s="1098"/>
      <c r="K267" s="1043"/>
      <c r="L267" s="977"/>
    </row>
    <row r="268" spans="1:12" ht="24.75" customHeight="1" x14ac:dyDescent="0.25">
      <c r="A268" s="1246"/>
      <c r="B268" s="1053"/>
      <c r="C268" s="977"/>
      <c r="D268" s="1048"/>
      <c r="E268" s="1136"/>
      <c r="F268" s="1139"/>
      <c r="G268" s="977"/>
      <c r="H268" s="1119"/>
      <c r="I268" s="977"/>
      <c r="J268" s="1098"/>
      <c r="K268" s="1043"/>
      <c r="L268" s="977"/>
    </row>
    <row r="269" spans="1:12" ht="24.75" customHeight="1" x14ac:dyDescent="0.25">
      <c r="A269" s="1246"/>
      <c r="B269" s="1053"/>
      <c r="C269" s="977"/>
      <c r="D269" s="1048"/>
      <c r="E269" s="1136"/>
      <c r="F269" s="1139"/>
      <c r="G269" s="977"/>
      <c r="H269" s="1119"/>
      <c r="I269" s="977"/>
      <c r="J269" s="1098"/>
      <c r="K269" s="1043"/>
      <c r="L269" s="977"/>
    </row>
    <row r="270" spans="1:12" ht="24.75" customHeight="1" x14ac:dyDescent="0.25">
      <c r="A270" s="1246"/>
      <c r="B270" s="1053"/>
      <c r="C270" s="977"/>
      <c r="D270" s="1048"/>
      <c r="E270" s="1136"/>
      <c r="F270" s="1139"/>
      <c r="G270" s="977"/>
      <c r="H270" s="1119"/>
      <c r="I270" s="977"/>
      <c r="J270" s="1098"/>
      <c r="K270" s="1043"/>
      <c r="L270" s="977"/>
    </row>
    <row r="271" spans="1:12" ht="24.75" customHeight="1" x14ac:dyDescent="0.25">
      <c r="A271" s="1246"/>
      <c r="B271" s="1053"/>
      <c r="C271" s="977"/>
      <c r="D271" s="1048"/>
      <c r="E271" s="1136"/>
      <c r="F271" s="1139"/>
      <c r="G271" s="977"/>
      <c r="H271" s="1119"/>
      <c r="I271" s="977"/>
      <c r="J271" s="1098"/>
      <c r="K271" s="1165"/>
      <c r="L271" s="977"/>
    </row>
    <row r="272" spans="1:12" ht="24.75" customHeight="1" x14ac:dyDescent="0.25">
      <c r="A272" s="1246"/>
      <c r="B272" s="1053"/>
      <c r="C272" s="977"/>
      <c r="D272" s="1048"/>
      <c r="E272" s="1136"/>
      <c r="F272" s="1139"/>
      <c r="G272" s="977"/>
      <c r="H272" s="1133" t="s">
        <v>356</v>
      </c>
      <c r="I272" s="1164" t="s">
        <v>357</v>
      </c>
      <c r="J272" s="1167">
        <v>100</v>
      </c>
      <c r="K272" s="1166">
        <v>101.9</v>
      </c>
      <c r="L272" s="977"/>
    </row>
    <row r="273" spans="1:12" ht="24.75" customHeight="1" x14ac:dyDescent="0.25">
      <c r="A273" s="1246"/>
      <c r="B273" s="1053"/>
      <c r="C273" s="977"/>
      <c r="D273" s="1048"/>
      <c r="E273" s="1136"/>
      <c r="F273" s="1139"/>
      <c r="G273" s="977"/>
      <c r="H273" s="1119"/>
      <c r="I273" s="977"/>
      <c r="J273" s="1098"/>
      <c r="K273" s="1043"/>
      <c r="L273" s="977"/>
    </row>
    <row r="274" spans="1:12" ht="24.75" customHeight="1" x14ac:dyDescent="0.25">
      <c r="A274" s="1246"/>
      <c r="B274" s="1053"/>
      <c r="C274" s="977"/>
      <c r="D274" s="1048"/>
      <c r="E274" s="1136"/>
      <c r="F274" s="1139"/>
      <c r="G274" s="977"/>
      <c r="H274" s="1119"/>
      <c r="I274" s="977"/>
      <c r="J274" s="1098"/>
      <c r="K274" s="1043"/>
      <c r="L274" s="977"/>
    </row>
    <row r="275" spans="1:12" ht="24.75" customHeight="1" x14ac:dyDescent="0.25">
      <c r="A275" s="1246"/>
      <c r="B275" s="1053"/>
      <c r="C275" s="977"/>
      <c r="D275" s="1048"/>
      <c r="E275" s="1136"/>
      <c r="F275" s="1139"/>
      <c r="G275" s="977"/>
      <c r="H275" s="1119"/>
      <c r="I275" s="977"/>
      <c r="J275" s="1098"/>
      <c r="K275" s="1043"/>
      <c r="L275" s="977"/>
    </row>
    <row r="276" spans="1:12" ht="24.75" customHeight="1" x14ac:dyDescent="0.25">
      <c r="A276" s="1246"/>
      <c r="B276" s="1053"/>
      <c r="C276" s="977"/>
      <c r="D276" s="1048"/>
      <c r="E276" s="1136"/>
      <c r="F276" s="1139"/>
      <c r="G276" s="977"/>
      <c r="H276" s="1119"/>
      <c r="I276" s="977"/>
      <c r="J276" s="1098"/>
      <c r="K276" s="1043"/>
      <c r="L276" s="977"/>
    </row>
    <row r="277" spans="1:12" ht="24.75" customHeight="1" x14ac:dyDescent="0.25">
      <c r="A277" s="1246"/>
      <c r="B277" s="1053"/>
      <c r="C277" s="977"/>
      <c r="D277" s="1048"/>
      <c r="E277" s="1136"/>
      <c r="F277" s="1139"/>
      <c r="G277" s="977"/>
      <c r="H277" s="1119"/>
      <c r="I277" s="977"/>
      <c r="J277" s="1098"/>
      <c r="K277" s="1043"/>
      <c r="L277" s="977"/>
    </row>
    <row r="278" spans="1:12" ht="24.75" customHeight="1" thickBot="1" x14ac:dyDescent="0.3">
      <c r="A278" s="1246"/>
      <c r="B278" s="1054"/>
      <c r="C278" s="978"/>
      <c r="D278" s="967"/>
      <c r="E278" s="1137"/>
      <c r="F278" s="1140"/>
      <c r="G278" s="978"/>
      <c r="H278" s="1119"/>
      <c r="I278" s="977"/>
      <c r="J278" s="1098"/>
      <c r="K278" s="1043"/>
      <c r="L278" s="977"/>
    </row>
    <row r="279" spans="1:12" ht="24.75" customHeight="1" x14ac:dyDescent="0.25">
      <c r="A279" s="1246"/>
      <c r="B279" s="1052" t="s">
        <v>70</v>
      </c>
      <c r="C279" s="976" t="s">
        <v>180</v>
      </c>
      <c r="D279" s="766" t="s">
        <v>225</v>
      </c>
      <c r="E279" s="349">
        <f>E280+E281</f>
        <v>48049644.759999998</v>
      </c>
      <c r="F279" s="343">
        <f>F280+F281</f>
        <v>21006875.579999998</v>
      </c>
      <c r="G279" s="1055" t="s">
        <v>445</v>
      </c>
      <c r="H279" s="1297" t="s">
        <v>375</v>
      </c>
      <c r="I279" s="1156" t="s">
        <v>363</v>
      </c>
      <c r="J279" s="1159">
        <v>108</v>
      </c>
      <c r="K279" s="1168">
        <v>64</v>
      </c>
      <c r="L279" s="353">
        <f>L280+L281</f>
        <v>48049644.759999998</v>
      </c>
    </row>
    <row r="280" spans="1:12" ht="24.75" customHeight="1" x14ac:dyDescent="0.25">
      <c r="A280" s="1246"/>
      <c r="B280" s="1053"/>
      <c r="C280" s="977"/>
      <c r="D280" s="856" t="s">
        <v>283</v>
      </c>
      <c r="E280" s="930">
        <v>48049644.759999998</v>
      </c>
      <c r="F280" s="331">
        <v>21006875.579999998</v>
      </c>
      <c r="G280" s="1056"/>
      <c r="H280" s="1298"/>
      <c r="I280" s="1157"/>
      <c r="J280" s="1154"/>
      <c r="K280" s="1155"/>
      <c r="L280" s="145">
        <v>48049644.759999998</v>
      </c>
    </row>
    <row r="281" spans="1:12" ht="24.75" customHeight="1" thickBot="1" x14ac:dyDescent="0.3">
      <c r="A281" s="1246"/>
      <c r="B281" s="1053"/>
      <c r="C281" s="977"/>
      <c r="D281" s="857" t="s">
        <v>281</v>
      </c>
      <c r="E281" s="351">
        <v>0</v>
      </c>
      <c r="F281" s="332">
        <v>0</v>
      </c>
      <c r="G281" s="1056"/>
      <c r="H281" s="1298"/>
      <c r="I281" s="1157"/>
      <c r="J281" s="1154"/>
      <c r="K281" s="1155"/>
      <c r="L281" s="489">
        <v>0</v>
      </c>
    </row>
    <row r="282" spans="1:12" ht="24.75" customHeight="1" x14ac:dyDescent="0.25">
      <c r="A282" s="1246"/>
      <c r="B282" s="1053"/>
      <c r="C282" s="977"/>
      <c r="D282" s="966"/>
      <c r="E282" s="1135"/>
      <c r="F282" s="1138"/>
      <c r="G282" s="1056"/>
      <c r="H282" s="1298"/>
      <c r="I282" s="1157"/>
      <c r="J282" s="1154"/>
      <c r="K282" s="1155"/>
      <c r="L282" s="976"/>
    </row>
    <row r="283" spans="1:12" ht="24.75" customHeight="1" x14ac:dyDescent="0.25">
      <c r="A283" s="1246"/>
      <c r="B283" s="1053"/>
      <c r="C283" s="977"/>
      <c r="D283" s="1048"/>
      <c r="E283" s="1136"/>
      <c r="F283" s="1139"/>
      <c r="G283" s="1056"/>
      <c r="H283" s="1298"/>
      <c r="I283" s="1157"/>
      <c r="J283" s="1154"/>
      <c r="K283" s="1155"/>
      <c r="L283" s="977"/>
    </row>
    <row r="284" spans="1:12" ht="24.75" customHeight="1" x14ac:dyDescent="0.25">
      <c r="A284" s="1246"/>
      <c r="B284" s="1053"/>
      <c r="C284" s="977"/>
      <c r="D284" s="1048"/>
      <c r="E284" s="1136"/>
      <c r="F284" s="1139"/>
      <c r="G284" s="1056"/>
      <c r="H284" s="1298" t="s">
        <v>376</v>
      </c>
      <c r="I284" s="1157" t="s">
        <v>353</v>
      </c>
      <c r="J284" s="1154">
        <v>100</v>
      </c>
      <c r="K284" s="1155">
        <v>59.3</v>
      </c>
      <c r="L284" s="977"/>
    </row>
    <row r="285" spans="1:12" ht="24.75" customHeight="1" x14ac:dyDescent="0.25">
      <c r="A285" s="1246"/>
      <c r="B285" s="1053"/>
      <c r="C285" s="977"/>
      <c r="D285" s="1048"/>
      <c r="E285" s="1136"/>
      <c r="F285" s="1139"/>
      <c r="G285" s="1056"/>
      <c r="H285" s="1298"/>
      <c r="I285" s="1157"/>
      <c r="J285" s="1154"/>
      <c r="K285" s="1155"/>
      <c r="L285" s="977"/>
    </row>
    <row r="286" spans="1:12" ht="24.75" customHeight="1" x14ac:dyDescent="0.25">
      <c r="A286" s="1246"/>
      <c r="B286" s="1053"/>
      <c r="C286" s="977"/>
      <c r="D286" s="1048"/>
      <c r="E286" s="1136"/>
      <c r="F286" s="1139"/>
      <c r="G286" s="1056"/>
      <c r="H286" s="1298"/>
      <c r="I286" s="1157"/>
      <c r="J286" s="1154"/>
      <c r="K286" s="1155"/>
      <c r="L286" s="977"/>
    </row>
    <row r="287" spans="1:12" ht="24.75" customHeight="1" x14ac:dyDescent="0.25">
      <c r="A287" s="1246"/>
      <c r="B287" s="1053"/>
      <c r="C287" s="977"/>
      <c r="D287" s="1048"/>
      <c r="E287" s="1136"/>
      <c r="F287" s="1139"/>
      <c r="G287" s="1056"/>
      <c r="H287" s="1298"/>
      <c r="I287" s="1157"/>
      <c r="J287" s="1154"/>
      <c r="K287" s="1155"/>
      <c r="L287" s="977"/>
    </row>
    <row r="288" spans="1:12" ht="24.75" customHeight="1" x14ac:dyDescent="0.25">
      <c r="A288" s="1246"/>
      <c r="B288" s="1053"/>
      <c r="C288" s="977"/>
      <c r="D288" s="1048"/>
      <c r="E288" s="1136"/>
      <c r="F288" s="1139"/>
      <c r="G288" s="1056"/>
      <c r="H288" s="1298" t="s">
        <v>377</v>
      </c>
      <c r="I288" s="1157" t="s">
        <v>353</v>
      </c>
      <c r="J288" s="1154">
        <v>100</v>
      </c>
      <c r="K288" s="1155">
        <v>100</v>
      </c>
      <c r="L288" s="977"/>
    </row>
    <row r="289" spans="1:12" ht="24.75" customHeight="1" x14ac:dyDescent="0.25">
      <c r="A289" s="1246"/>
      <c r="B289" s="1053"/>
      <c r="C289" s="977"/>
      <c r="D289" s="1048"/>
      <c r="E289" s="1136"/>
      <c r="F289" s="1139"/>
      <c r="G289" s="1056"/>
      <c r="H289" s="1298"/>
      <c r="I289" s="1157"/>
      <c r="J289" s="1154"/>
      <c r="K289" s="1155"/>
      <c r="L289" s="977"/>
    </row>
    <row r="290" spans="1:12" ht="24.75" customHeight="1" x14ac:dyDescent="0.25">
      <c r="A290" s="1246"/>
      <c r="B290" s="1053"/>
      <c r="C290" s="977"/>
      <c r="D290" s="1048"/>
      <c r="E290" s="1136"/>
      <c r="F290" s="1139"/>
      <c r="G290" s="1056"/>
      <c r="H290" s="1298"/>
      <c r="I290" s="1157"/>
      <c r="J290" s="1154"/>
      <c r="K290" s="1155"/>
      <c r="L290" s="977"/>
    </row>
    <row r="291" spans="1:12" ht="24.75" customHeight="1" thickBot="1" x14ac:dyDescent="0.3">
      <c r="A291" s="1246"/>
      <c r="B291" s="1054"/>
      <c r="C291" s="978"/>
      <c r="D291" s="967"/>
      <c r="E291" s="1137"/>
      <c r="F291" s="1140"/>
      <c r="G291" s="1057"/>
      <c r="H291" s="931" t="s">
        <v>378</v>
      </c>
      <c r="I291" s="843" t="s">
        <v>368</v>
      </c>
      <c r="J291" s="846">
        <v>34560</v>
      </c>
      <c r="K291" s="793">
        <v>10297</v>
      </c>
      <c r="L291" s="978"/>
    </row>
    <row r="292" spans="1:12" ht="18" customHeight="1" x14ac:dyDescent="0.25">
      <c r="A292" s="1246"/>
      <c r="B292" s="1121" t="s">
        <v>83</v>
      </c>
      <c r="C292" s="976"/>
      <c r="D292" s="766" t="s">
        <v>225</v>
      </c>
      <c r="E292" s="364">
        <f>E293+E294</f>
        <v>6444010.0899999999</v>
      </c>
      <c r="F292" s="364">
        <f>F293+F294</f>
        <v>2572338.12</v>
      </c>
      <c r="G292" s="976"/>
      <c r="H292" s="976"/>
      <c r="I292" s="976"/>
      <c r="J292" s="1106"/>
      <c r="K292" s="1130"/>
      <c r="L292" s="353">
        <f>L293+L294</f>
        <v>6444010.0899999999</v>
      </c>
    </row>
    <row r="293" spans="1:12" ht="18" customHeight="1" x14ac:dyDescent="0.25">
      <c r="A293" s="1246"/>
      <c r="B293" s="1122"/>
      <c r="C293" s="977"/>
      <c r="D293" s="856" t="s">
        <v>283</v>
      </c>
      <c r="E293" s="316">
        <f>E296</f>
        <v>6444010.0899999999</v>
      </c>
      <c r="F293" s="316">
        <f>F296</f>
        <v>2572338.12</v>
      </c>
      <c r="G293" s="977"/>
      <c r="H293" s="977"/>
      <c r="I293" s="977"/>
      <c r="J293" s="1107"/>
      <c r="K293" s="1131"/>
      <c r="L293" s="145">
        <f>L296</f>
        <v>6444010.0899999999</v>
      </c>
    </row>
    <row r="294" spans="1:12" ht="18" customHeight="1" thickBot="1" x14ac:dyDescent="0.3">
      <c r="A294" s="1246"/>
      <c r="B294" s="1123"/>
      <c r="C294" s="978"/>
      <c r="D294" s="857" t="s">
        <v>282</v>
      </c>
      <c r="E294" s="321">
        <f>E297</f>
        <v>0</v>
      </c>
      <c r="F294" s="321">
        <f>F297</f>
        <v>0</v>
      </c>
      <c r="G294" s="978"/>
      <c r="H294" s="978"/>
      <c r="I294" s="978"/>
      <c r="J294" s="1108"/>
      <c r="K294" s="1132"/>
      <c r="L294" s="352">
        <f>L297</f>
        <v>0</v>
      </c>
    </row>
    <row r="295" spans="1:12" ht="19.5" customHeight="1" x14ac:dyDescent="0.25">
      <c r="A295" s="1246"/>
      <c r="B295" s="1053" t="s">
        <v>52</v>
      </c>
      <c r="C295" s="977" t="s">
        <v>180</v>
      </c>
      <c r="D295" s="897" t="s">
        <v>225</v>
      </c>
      <c r="E295" s="898">
        <f>E296+E297</f>
        <v>6444010.0899999999</v>
      </c>
      <c r="F295" s="899">
        <f>F296+F297</f>
        <v>2572338.12</v>
      </c>
      <c r="G295" s="976" t="s">
        <v>445</v>
      </c>
      <c r="H295" s="1118" t="s">
        <v>379</v>
      </c>
      <c r="I295" s="976" t="s">
        <v>359</v>
      </c>
      <c r="J295" s="1106">
        <v>14</v>
      </c>
      <c r="K295" s="1151">
        <v>7</v>
      </c>
      <c r="L295" s="785">
        <f>L296+L297</f>
        <v>6444010.0899999999</v>
      </c>
    </row>
    <row r="296" spans="1:12" ht="19.5" customHeight="1" x14ac:dyDescent="0.25">
      <c r="A296" s="1246"/>
      <c r="B296" s="1053"/>
      <c r="C296" s="977"/>
      <c r="D296" s="856" t="s">
        <v>283</v>
      </c>
      <c r="E296" s="350">
        <v>6444010.0899999999</v>
      </c>
      <c r="F296" s="331">
        <v>2572338.12</v>
      </c>
      <c r="G296" s="977"/>
      <c r="H296" s="1119"/>
      <c r="I296" s="977"/>
      <c r="J296" s="1107"/>
      <c r="K296" s="1152"/>
      <c r="L296" s="145">
        <v>6444010.0899999999</v>
      </c>
    </row>
    <row r="297" spans="1:12" ht="19.5" customHeight="1" thickBot="1" x14ac:dyDescent="0.3">
      <c r="A297" s="1246"/>
      <c r="B297" s="1053"/>
      <c r="C297" s="977"/>
      <c r="D297" s="769" t="s">
        <v>282</v>
      </c>
      <c r="E297" s="894">
        <f>0</f>
        <v>0</v>
      </c>
      <c r="F297" s="895">
        <v>0</v>
      </c>
      <c r="G297" s="978"/>
      <c r="H297" s="1120"/>
      <c r="I297" s="978"/>
      <c r="J297" s="1108"/>
      <c r="K297" s="1153"/>
      <c r="L297" s="489">
        <v>0</v>
      </c>
    </row>
    <row r="298" spans="1:12" ht="18.75" customHeight="1" x14ac:dyDescent="0.25">
      <c r="A298" s="1246"/>
      <c r="B298" s="1121" t="s">
        <v>84</v>
      </c>
      <c r="C298" s="976"/>
      <c r="D298" s="766" t="s">
        <v>225</v>
      </c>
      <c r="E298" s="364">
        <f>E299+E300</f>
        <v>7249595.75</v>
      </c>
      <c r="F298" s="364">
        <f>F299+F300</f>
        <v>3200115</v>
      </c>
      <c r="G298" s="976"/>
      <c r="H298" s="976"/>
      <c r="I298" s="976"/>
      <c r="J298" s="1106"/>
      <c r="K298" s="1130"/>
      <c r="L298" s="353">
        <f>L299+L300</f>
        <v>7249595.75</v>
      </c>
    </row>
    <row r="299" spans="1:12" ht="18.75" customHeight="1" x14ac:dyDescent="0.25">
      <c r="A299" s="1246"/>
      <c r="B299" s="1122"/>
      <c r="C299" s="977"/>
      <c r="D299" s="856" t="s">
        <v>283</v>
      </c>
      <c r="E299" s="316">
        <f>E302</f>
        <v>7249595.75</v>
      </c>
      <c r="F299" s="316">
        <f>F302</f>
        <v>3200115</v>
      </c>
      <c r="G299" s="977"/>
      <c r="H299" s="977"/>
      <c r="I299" s="977"/>
      <c r="J299" s="1107"/>
      <c r="K299" s="1131"/>
      <c r="L299" s="145">
        <f>L302</f>
        <v>7249595.75</v>
      </c>
    </row>
    <row r="300" spans="1:12" ht="18.75" customHeight="1" thickBot="1" x14ac:dyDescent="0.3">
      <c r="A300" s="1246"/>
      <c r="B300" s="1123"/>
      <c r="C300" s="978"/>
      <c r="D300" s="857" t="s">
        <v>282</v>
      </c>
      <c r="E300" s="321">
        <f>E303</f>
        <v>0</v>
      </c>
      <c r="F300" s="321">
        <f>F303</f>
        <v>0</v>
      </c>
      <c r="G300" s="978"/>
      <c r="H300" s="978"/>
      <c r="I300" s="978"/>
      <c r="J300" s="1108"/>
      <c r="K300" s="1132"/>
      <c r="L300" s="352">
        <f>L303</f>
        <v>0</v>
      </c>
    </row>
    <row r="301" spans="1:12" ht="39.75" customHeight="1" x14ac:dyDescent="0.25">
      <c r="A301" s="1246"/>
      <c r="B301" s="1053" t="s">
        <v>53</v>
      </c>
      <c r="C301" s="977" t="s">
        <v>180</v>
      </c>
      <c r="D301" s="897" t="s">
        <v>225</v>
      </c>
      <c r="E301" s="898">
        <f>E302+E303</f>
        <v>7249595.75</v>
      </c>
      <c r="F301" s="899">
        <f>F302+F303</f>
        <v>3200115</v>
      </c>
      <c r="G301" s="976" t="s">
        <v>445</v>
      </c>
      <c r="H301" s="1118" t="s">
        <v>561</v>
      </c>
      <c r="I301" s="976" t="s">
        <v>366</v>
      </c>
      <c r="J301" s="1097">
        <v>67</v>
      </c>
      <c r="K301" s="1127">
        <v>67</v>
      </c>
      <c r="L301" s="353">
        <f>L302+L303</f>
        <v>7249595.75</v>
      </c>
    </row>
    <row r="302" spans="1:12" ht="39.75" customHeight="1" x14ac:dyDescent="0.25">
      <c r="A302" s="1246"/>
      <c r="B302" s="1053"/>
      <c r="C302" s="977"/>
      <c r="D302" s="856" t="s">
        <v>283</v>
      </c>
      <c r="E302" s="350">
        <v>7249595.75</v>
      </c>
      <c r="F302" s="331">
        <v>3200115</v>
      </c>
      <c r="G302" s="977"/>
      <c r="H302" s="1119"/>
      <c r="I302" s="977"/>
      <c r="J302" s="1098"/>
      <c r="K302" s="1128"/>
      <c r="L302" s="145">
        <v>7249595.75</v>
      </c>
    </row>
    <row r="303" spans="1:12" ht="39.75" customHeight="1" thickBot="1" x14ac:dyDescent="0.3">
      <c r="A303" s="1246"/>
      <c r="B303" s="1053"/>
      <c r="C303" s="977"/>
      <c r="D303" s="769" t="s">
        <v>282</v>
      </c>
      <c r="E303" s="894">
        <f>0</f>
        <v>0</v>
      </c>
      <c r="F303" s="895">
        <v>0</v>
      </c>
      <c r="G303" s="978"/>
      <c r="H303" s="1120"/>
      <c r="I303" s="978"/>
      <c r="J303" s="1099"/>
      <c r="K303" s="1129"/>
      <c r="L303" s="352">
        <v>0</v>
      </c>
    </row>
    <row r="304" spans="1:12" ht="18" customHeight="1" x14ac:dyDescent="0.25">
      <c r="A304" s="1246"/>
      <c r="B304" s="1121" t="s">
        <v>190</v>
      </c>
      <c r="C304" s="976"/>
      <c r="D304" s="766" t="s">
        <v>225</v>
      </c>
      <c r="E304" s="364">
        <f>E305+E306</f>
        <v>26834987.25</v>
      </c>
      <c r="F304" s="364">
        <f>F305+F306</f>
        <v>11601140</v>
      </c>
      <c r="G304" s="976"/>
      <c r="H304" s="976"/>
      <c r="I304" s="976"/>
      <c r="J304" s="1106"/>
      <c r="K304" s="1130"/>
      <c r="L304" s="353">
        <f>L305+L306</f>
        <v>26834987.25</v>
      </c>
    </row>
    <row r="305" spans="1:12" ht="18" customHeight="1" x14ac:dyDescent="0.25">
      <c r="A305" s="1246"/>
      <c r="B305" s="1122"/>
      <c r="C305" s="977"/>
      <c r="D305" s="856" t="s">
        <v>283</v>
      </c>
      <c r="E305" s="316">
        <f>E308</f>
        <v>26834987.25</v>
      </c>
      <c r="F305" s="316">
        <f>F308</f>
        <v>11601140</v>
      </c>
      <c r="G305" s="977"/>
      <c r="H305" s="977"/>
      <c r="I305" s="977"/>
      <c r="J305" s="1107"/>
      <c r="K305" s="1131"/>
      <c r="L305" s="145">
        <f>L308</f>
        <v>26834987.25</v>
      </c>
    </row>
    <row r="306" spans="1:12" ht="18" customHeight="1" thickBot="1" x14ac:dyDescent="0.3">
      <c r="A306" s="1246"/>
      <c r="B306" s="1123"/>
      <c r="C306" s="978"/>
      <c r="D306" s="857" t="s">
        <v>282</v>
      </c>
      <c r="E306" s="321">
        <f>E309</f>
        <v>0</v>
      </c>
      <c r="F306" s="321">
        <f>F309</f>
        <v>0</v>
      </c>
      <c r="G306" s="978"/>
      <c r="H306" s="978"/>
      <c r="I306" s="978"/>
      <c r="J306" s="1108"/>
      <c r="K306" s="1132"/>
      <c r="L306" s="352">
        <f>L309</f>
        <v>0</v>
      </c>
    </row>
    <row r="307" spans="1:12" ht="54.75" customHeight="1" x14ac:dyDescent="0.25">
      <c r="A307" s="1246"/>
      <c r="B307" s="1053" t="s">
        <v>54</v>
      </c>
      <c r="C307" s="977" t="s">
        <v>180</v>
      </c>
      <c r="D307" s="897" t="s">
        <v>225</v>
      </c>
      <c r="E307" s="898">
        <f>E308+E309</f>
        <v>26834987.25</v>
      </c>
      <c r="F307" s="899">
        <f>F308+F309</f>
        <v>11601140</v>
      </c>
      <c r="G307" s="976" t="s">
        <v>445</v>
      </c>
      <c r="H307" s="75" t="s">
        <v>382</v>
      </c>
      <c r="I307" s="841" t="s">
        <v>357</v>
      </c>
      <c r="J307" s="932">
        <v>100</v>
      </c>
      <c r="K307" s="933">
        <v>100</v>
      </c>
      <c r="L307" s="353">
        <f>L308+L309</f>
        <v>26834987.25</v>
      </c>
    </row>
    <row r="308" spans="1:12" ht="54.75" customHeight="1" x14ac:dyDescent="0.25">
      <c r="A308" s="1246"/>
      <c r="B308" s="1053"/>
      <c r="C308" s="977"/>
      <c r="D308" s="856" t="s">
        <v>283</v>
      </c>
      <c r="E308" s="350">
        <v>26834987.25</v>
      </c>
      <c r="F308" s="331">
        <v>11601140</v>
      </c>
      <c r="G308" s="977"/>
      <c r="H308" s="49" t="s">
        <v>381</v>
      </c>
      <c r="I308" s="842" t="s">
        <v>353</v>
      </c>
      <c r="J308" s="907">
        <v>100</v>
      </c>
      <c r="K308" s="934">
        <v>100</v>
      </c>
      <c r="L308" s="145">
        <v>26834987.25</v>
      </c>
    </row>
    <row r="309" spans="1:12" ht="54.75" customHeight="1" thickBot="1" x14ac:dyDescent="0.3">
      <c r="A309" s="1246"/>
      <c r="B309" s="1053"/>
      <c r="C309" s="977"/>
      <c r="D309" s="769" t="s">
        <v>282</v>
      </c>
      <c r="E309" s="894">
        <f>0</f>
        <v>0</v>
      </c>
      <c r="F309" s="895">
        <v>0</v>
      </c>
      <c r="G309" s="978"/>
      <c r="H309" s="142" t="s">
        <v>379</v>
      </c>
      <c r="I309" s="843" t="s">
        <v>366</v>
      </c>
      <c r="J309" s="935">
        <v>1</v>
      </c>
      <c r="K309" s="936">
        <v>1</v>
      </c>
      <c r="L309" s="489">
        <v>0</v>
      </c>
    </row>
    <row r="310" spans="1:12" x14ac:dyDescent="0.25">
      <c r="A310" s="1246"/>
      <c r="B310" s="1121" t="s">
        <v>85</v>
      </c>
      <c r="C310" s="976"/>
      <c r="D310" s="766" t="s">
        <v>225</v>
      </c>
      <c r="E310" s="364">
        <f>E311+E312</f>
        <v>49695911.200000003</v>
      </c>
      <c r="F310" s="364">
        <f>F311+F312</f>
        <v>24390757</v>
      </c>
      <c r="G310" s="1055"/>
      <c r="H310" s="976"/>
      <c r="I310" s="976"/>
      <c r="J310" s="1097"/>
      <c r="K310" s="1169"/>
      <c r="L310" s="353">
        <f>L311+L312</f>
        <v>49695911.200000003</v>
      </c>
    </row>
    <row r="311" spans="1:12" x14ac:dyDescent="0.25">
      <c r="A311" s="1246"/>
      <c r="B311" s="1122"/>
      <c r="C311" s="977"/>
      <c r="D311" s="856" t="s">
        <v>283</v>
      </c>
      <c r="E311" s="316">
        <f>E314+E319</f>
        <v>49695911.200000003</v>
      </c>
      <c r="F311" s="316">
        <f>F314+F319</f>
        <v>24390757</v>
      </c>
      <c r="G311" s="1056"/>
      <c r="H311" s="977"/>
      <c r="I311" s="977"/>
      <c r="J311" s="1098"/>
      <c r="K311" s="1170"/>
      <c r="L311" s="145">
        <f>L314+L319</f>
        <v>49695911.200000003</v>
      </c>
    </row>
    <row r="312" spans="1:12" ht="15.75" thickBot="1" x14ac:dyDescent="0.3">
      <c r="A312" s="1246"/>
      <c r="B312" s="1123"/>
      <c r="C312" s="978"/>
      <c r="D312" s="857" t="s">
        <v>282</v>
      </c>
      <c r="E312" s="321">
        <f>E315+E320</f>
        <v>0</v>
      </c>
      <c r="F312" s="321">
        <f>F315+F320</f>
        <v>0</v>
      </c>
      <c r="G312" s="1057"/>
      <c r="H312" s="978"/>
      <c r="I312" s="978"/>
      <c r="J312" s="1099"/>
      <c r="K312" s="1171"/>
      <c r="L312" s="352">
        <f>L315+L320</f>
        <v>0</v>
      </c>
    </row>
    <row r="313" spans="1:12" ht="87.75" customHeight="1" x14ac:dyDescent="0.25">
      <c r="A313" s="1246"/>
      <c r="B313" s="1255" t="s">
        <v>39</v>
      </c>
      <c r="C313" s="976" t="s">
        <v>180</v>
      </c>
      <c r="D313" s="766" t="s">
        <v>225</v>
      </c>
      <c r="E313" s="364">
        <f>E314+E315</f>
        <v>9049615.9499999993</v>
      </c>
      <c r="F313" s="343">
        <f>F314+F315</f>
        <v>5153702</v>
      </c>
      <c r="G313" s="1293" t="s">
        <v>445</v>
      </c>
      <c r="H313" s="1118" t="s">
        <v>354</v>
      </c>
      <c r="I313" s="976" t="s">
        <v>357</v>
      </c>
      <c r="J313" s="1097">
        <v>200</v>
      </c>
      <c r="K313" s="1169">
        <v>205.5</v>
      </c>
      <c r="L313" s="353">
        <f>L314+L315</f>
        <v>9049615.9499999993</v>
      </c>
    </row>
    <row r="314" spans="1:12" ht="87.75" customHeight="1" x14ac:dyDescent="0.25">
      <c r="A314" s="1246"/>
      <c r="B314" s="1256"/>
      <c r="C314" s="977"/>
      <c r="D314" s="856" t="s">
        <v>283</v>
      </c>
      <c r="E314" s="316">
        <v>9049615.9499999993</v>
      </c>
      <c r="F314" s="331">
        <v>5153702</v>
      </c>
      <c r="G314" s="1294"/>
      <c r="H314" s="1119"/>
      <c r="I314" s="977"/>
      <c r="J314" s="1098"/>
      <c r="K314" s="1170"/>
      <c r="L314" s="495">
        <v>9049615.9499999993</v>
      </c>
    </row>
    <row r="315" spans="1:12" ht="87.75" customHeight="1" thickBot="1" x14ac:dyDescent="0.3">
      <c r="A315" s="1246"/>
      <c r="B315" s="1256"/>
      <c r="C315" s="977"/>
      <c r="D315" s="857" t="s">
        <v>282</v>
      </c>
      <c r="E315" s="321">
        <v>0</v>
      </c>
      <c r="F315" s="332">
        <v>0</v>
      </c>
      <c r="G315" s="1294"/>
      <c r="H315" s="1134"/>
      <c r="I315" s="1173"/>
      <c r="J315" s="1174"/>
      <c r="K315" s="1175"/>
      <c r="L315" s="495">
        <v>0</v>
      </c>
    </row>
    <row r="316" spans="1:12" ht="160.5" customHeight="1" x14ac:dyDescent="0.25">
      <c r="A316" s="1246"/>
      <c r="B316" s="1256"/>
      <c r="C316" s="977"/>
      <c r="D316" s="976"/>
      <c r="E316" s="1201"/>
      <c r="F316" s="1270"/>
      <c r="G316" s="1294"/>
      <c r="H316" s="135" t="s">
        <v>519</v>
      </c>
      <c r="I316" s="842" t="s">
        <v>357</v>
      </c>
      <c r="J316" s="845">
        <v>100</v>
      </c>
      <c r="K316" s="892">
        <v>106.2</v>
      </c>
      <c r="L316" s="145"/>
    </row>
    <row r="317" spans="1:12" ht="158.25" customHeight="1" thickBot="1" x14ac:dyDescent="0.3">
      <c r="A317" s="1246"/>
      <c r="B317" s="1257"/>
      <c r="C317" s="978"/>
      <c r="D317" s="978"/>
      <c r="E317" s="1203"/>
      <c r="F317" s="1271"/>
      <c r="G317" s="1295"/>
      <c r="H317" s="136" t="s">
        <v>356</v>
      </c>
      <c r="I317" s="843" t="s">
        <v>357</v>
      </c>
      <c r="J317" s="846">
        <v>100</v>
      </c>
      <c r="K317" s="893">
        <v>101.9</v>
      </c>
      <c r="L317" s="352"/>
    </row>
    <row r="318" spans="1:12" ht="33" customHeight="1" x14ac:dyDescent="0.25">
      <c r="A318" s="1246"/>
      <c r="B318" s="1053" t="s">
        <v>55</v>
      </c>
      <c r="C318" s="977" t="s">
        <v>180</v>
      </c>
      <c r="D318" s="897" t="s">
        <v>225</v>
      </c>
      <c r="E318" s="898">
        <f>E319+E320</f>
        <v>40646295.25</v>
      </c>
      <c r="F318" s="899">
        <f>F319+F320</f>
        <v>19237055</v>
      </c>
      <c r="G318" s="1056" t="s">
        <v>445</v>
      </c>
      <c r="H318" s="58" t="s">
        <v>380</v>
      </c>
      <c r="I318" s="824" t="s">
        <v>359</v>
      </c>
      <c r="J318" s="836">
        <v>31500</v>
      </c>
      <c r="K318" s="937">
        <v>16153</v>
      </c>
      <c r="L318" s="938">
        <f>L319+L320</f>
        <v>40646295.25</v>
      </c>
    </row>
    <row r="319" spans="1:12" ht="33" customHeight="1" x14ac:dyDescent="0.25">
      <c r="A319" s="1246"/>
      <c r="B319" s="1053"/>
      <c r="C319" s="977"/>
      <c r="D319" s="856" t="s">
        <v>283</v>
      </c>
      <c r="E319" s="350">
        <v>40646295.25</v>
      </c>
      <c r="F319" s="331">
        <v>19237055</v>
      </c>
      <c r="G319" s="1056"/>
      <c r="H319" s="1133" t="s">
        <v>562</v>
      </c>
      <c r="I319" s="1164" t="s">
        <v>357</v>
      </c>
      <c r="J319" s="1167">
        <v>100</v>
      </c>
      <c r="K319" s="1172">
        <v>100</v>
      </c>
      <c r="L319" s="145">
        <v>40646295.25</v>
      </c>
    </row>
    <row r="320" spans="1:12" ht="33" customHeight="1" thickBot="1" x14ac:dyDescent="0.3">
      <c r="A320" s="1247"/>
      <c r="B320" s="1054"/>
      <c r="C320" s="978"/>
      <c r="D320" s="857" t="s">
        <v>282</v>
      </c>
      <c r="E320" s="351">
        <f>0</f>
        <v>0</v>
      </c>
      <c r="F320" s="332">
        <v>0</v>
      </c>
      <c r="G320" s="1057"/>
      <c r="H320" s="1120"/>
      <c r="I320" s="978"/>
      <c r="J320" s="1099"/>
      <c r="K320" s="1047"/>
      <c r="L320" s="352">
        <v>0</v>
      </c>
    </row>
    <row r="321" spans="1:12" ht="19.5" customHeight="1" x14ac:dyDescent="0.25">
      <c r="A321" s="852"/>
      <c r="B321" s="1121" t="s">
        <v>93</v>
      </c>
      <c r="C321" s="976"/>
      <c r="D321" s="766" t="s">
        <v>225</v>
      </c>
      <c r="E321" s="364">
        <f>E322+E323</f>
        <v>1971600</v>
      </c>
      <c r="F321" s="364">
        <f>F322+F323</f>
        <v>749671.38</v>
      </c>
      <c r="G321" s="976"/>
      <c r="H321" s="976"/>
      <c r="I321" s="976"/>
      <c r="J321" s="1106"/>
      <c r="K321" s="1109"/>
      <c r="L321" s="353">
        <f>L322+L323</f>
        <v>1971600</v>
      </c>
    </row>
    <row r="322" spans="1:12" ht="19.5" customHeight="1" x14ac:dyDescent="0.25">
      <c r="A322" s="852"/>
      <c r="B322" s="1122"/>
      <c r="C322" s="977"/>
      <c r="D322" s="856" t="s">
        <v>283</v>
      </c>
      <c r="E322" s="316">
        <f>E325</f>
        <v>0</v>
      </c>
      <c r="F322" s="316">
        <f>F325</f>
        <v>0</v>
      </c>
      <c r="G322" s="977"/>
      <c r="H322" s="977"/>
      <c r="I322" s="977"/>
      <c r="J322" s="1107"/>
      <c r="K322" s="1110"/>
      <c r="L322" s="145">
        <f>L325</f>
        <v>0</v>
      </c>
    </row>
    <row r="323" spans="1:12" ht="19.5" customHeight="1" thickBot="1" x14ac:dyDescent="0.3">
      <c r="A323" s="852"/>
      <c r="B323" s="1123"/>
      <c r="C323" s="978"/>
      <c r="D323" s="857" t="s">
        <v>282</v>
      </c>
      <c r="E323" s="321">
        <f>E326</f>
        <v>1971600</v>
      </c>
      <c r="F323" s="321">
        <f>F326</f>
        <v>749671.38</v>
      </c>
      <c r="G323" s="978"/>
      <c r="H323" s="978"/>
      <c r="I323" s="978"/>
      <c r="J323" s="1108"/>
      <c r="K323" s="1111"/>
      <c r="L323" s="352">
        <f>L326</f>
        <v>1971600</v>
      </c>
    </row>
    <row r="324" spans="1:12" ht="52.5" customHeight="1" x14ac:dyDescent="0.25">
      <c r="A324" s="852"/>
      <c r="B324" s="1052" t="s">
        <v>64</v>
      </c>
      <c r="C324" s="976" t="s">
        <v>180</v>
      </c>
      <c r="D324" s="766" t="s">
        <v>225</v>
      </c>
      <c r="E324" s="349">
        <f>E325+E326</f>
        <v>1971600</v>
      </c>
      <c r="F324" s="343">
        <f>F325+F326</f>
        <v>749671.38</v>
      </c>
      <c r="G324" s="976" t="s">
        <v>445</v>
      </c>
      <c r="H324" s="1185" t="s">
        <v>385</v>
      </c>
      <c r="I324" s="976" t="s">
        <v>386</v>
      </c>
      <c r="J324" s="1106">
        <v>130</v>
      </c>
      <c r="K324" s="1142">
        <v>83</v>
      </c>
      <c r="L324" s="353">
        <f>L325+L326</f>
        <v>1971600</v>
      </c>
    </row>
    <row r="325" spans="1:12" ht="52.5" customHeight="1" x14ac:dyDescent="0.25">
      <c r="A325" s="852"/>
      <c r="B325" s="1053"/>
      <c r="C325" s="977"/>
      <c r="D325" s="856" t="s">
        <v>283</v>
      </c>
      <c r="E325" s="350">
        <f>0</f>
        <v>0</v>
      </c>
      <c r="F325" s="331">
        <v>0</v>
      </c>
      <c r="G325" s="977"/>
      <c r="H325" s="1186"/>
      <c r="I325" s="977"/>
      <c r="J325" s="1107"/>
      <c r="K325" s="1143"/>
      <c r="L325" s="145">
        <v>0</v>
      </c>
    </row>
    <row r="326" spans="1:12" ht="52.5" customHeight="1" thickBot="1" x14ac:dyDescent="0.3">
      <c r="A326" s="852"/>
      <c r="B326" s="1053"/>
      <c r="C326" s="977"/>
      <c r="D326" s="769" t="s">
        <v>282</v>
      </c>
      <c r="E326" s="894">
        <v>1971600</v>
      </c>
      <c r="F326" s="895">
        <v>749671.38</v>
      </c>
      <c r="G326" s="977"/>
      <c r="H326" s="1186"/>
      <c r="I326" s="977"/>
      <c r="J326" s="1107"/>
      <c r="K326" s="1143"/>
      <c r="L326" s="489">
        <v>1971600</v>
      </c>
    </row>
    <row r="327" spans="1:12" ht="20.25" customHeight="1" x14ac:dyDescent="0.25">
      <c r="A327" s="852"/>
      <c r="B327" s="1070" t="s">
        <v>614</v>
      </c>
      <c r="C327" s="976" t="s">
        <v>180</v>
      </c>
      <c r="D327" s="766" t="s">
        <v>225</v>
      </c>
      <c r="E327" s="364">
        <f>E328+E329</f>
        <v>800000</v>
      </c>
      <c r="F327" s="343">
        <f>F328+F329</f>
        <v>0</v>
      </c>
      <c r="G327" s="1156"/>
      <c r="H327" s="1156"/>
      <c r="I327" s="1156"/>
      <c r="J327" s="1159"/>
      <c r="K327" s="1161"/>
      <c r="L327" s="353">
        <f>L328+L329</f>
        <v>800000</v>
      </c>
    </row>
    <row r="328" spans="1:12" ht="20.25" customHeight="1" x14ac:dyDescent="0.25">
      <c r="A328" s="852"/>
      <c r="B328" s="1071"/>
      <c r="C328" s="977"/>
      <c r="D328" s="856" t="s">
        <v>283</v>
      </c>
      <c r="E328" s="316">
        <f>E331</f>
        <v>800000</v>
      </c>
      <c r="F328" s="331">
        <v>0</v>
      </c>
      <c r="G328" s="1157"/>
      <c r="H328" s="1157"/>
      <c r="I328" s="1157"/>
      <c r="J328" s="1154"/>
      <c r="K328" s="1162"/>
      <c r="L328" s="145">
        <f>L331</f>
        <v>800000</v>
      </c>
    </row>
    <row r="329" spans="1:12" ht="20.25" customHeight="1" thickBot="1" x14ac:dyDescent="0.3">
      <c r="A329" s="852"/>
      <c r="B329" s="1072"/>
      <c r="C329" s="978"/>
      <c r="D329" s="857" t="s">
        <v>282</v>
      </c>
      <c r="E329" s="321">
        <f>E332</f>
        <v>0</v>
      </c>
      <c r="F329" s="332">
        <v>0</v>
      </c>
      <c r="G329" s="1158"/>
      <c r="H329" s="1158"/>
      <c r="I329" s="1158"/>
      <c r="J329" s="1160"/>
      <c r="K329" s="1163"/>
      <c r="L329" s="352">
        <f>L332</f>
        <v>0</v>
      </c>
    </row>
    <row r="330" spans="1:12" ht="93" customHeight="1" x14ac:dyDescent="0.25">
      <c r="A330" s="852"/>
      <c r="B330" s="1049" t="s">
        <v>615</v>
      </c>
      <c r="C330" s="976" t="s">
        <v>180</v>
      </c>
      <c r="D330" s="897" t="s">
        <v>225</v>
      </c>
      <c r="E330" s="898">
        <f>E331+E332</f>
        <v>800000</v>
      </c>
      <c r="F330" s="899">
        <f>F331+F332</f>
        <v>0</v>
      </c>
      <c r="G330" s="976" t="s">
        <v>445</v>
      </c>
      <c r="H330" s="146" t="s">
        <v>616</v>
      </c>
      <c r="I330" s="841" t="s">
        <v>556</v>
      </c>
      <c r="J330" s="906">
        <v>85</v>
      </c>
      <c r="K330" s="847">
        <v>0</v>
      </c>
      <c r="L330" s="353">
        <f>L331+L332</f>
        <v>800000</v>
      </c>
    </row>
    <row r="331" spans="1:12" ht="51" customHeight="1" x14ac:dyDescent="0.25">
      <c r="A331" s="852"/>
      <c r="B331" s="1050"/>
      <c r="C331" s="977"/>
      <c r="D331" s="856" t="s">
        <v>283</v>
      </c>
      <c r="E331" s="316">
        <v>800000</v>
      </c>
      <c r="F331" s="362">
        <v>0</v>
      </c>
      <c r="G331" s="977"/>
      <c r="H331" s="1119" t="s">
        <v>617</v>
      </c>
      <c r="I331" s="1164" t="s">
        <v>556</v>
      </c>
      <c r="J331" s="1167">
        <v>85</v>
      </c>
      <c r="K331" s="1230">
        <v>0</v>
      </c>
      <c r="L331" s="145">
        <v>800000</v>
      </c>
    </row>
    <row r="332" spans="1:12" ht="51" customHeight="1" thickBot="1" x14ac:dyDescent="0.3">
      <c r="A332" s="852"/>
      <c r="B332" s="1051"/>
      <c r="C332" s="978"/>
      <c r="D332" s="857" t="s">
        <v>282</v>
      </c>
      <c r="E332" s="321">
        <v>0</v>
      </c>
      <c r="F332" s="363">
        <v>0</v>
      </c>
      <c r="G332" s="978"/>
      <c r="H332" s="1120"/>
      <c r="I332" s="978"/>
      <c r="J332" s="1099"/>
      <c r="K332" s="1140"/>
      <c r="L332" s="939">
        <v>0</v>
      </c>
    </row>
    <row r="333" spans="1:12" ht="18" customHeight="1" x14ac:dyDescent="0.25">
      <c r="A333" s="1243"/>
      <c r="B333" s="955" t="s">
        <v>95</v>
      </c>
      <c r="C333" s="1002" t="s">
        <v>180</v>
      </c>
      <c r="D333" s="865" t="s">
        <v>225</v>
      </c>
      <c r="E333" s="365">
        <f>E334+E335</f>
        <v>346527085.07999998</v>
      </c>
      <c r="F333" s="797">
        <f>F334+F335</f>
        <v>17201919.050000001</v>
      </c>
      <c r="G333" s="1002"/>
      <c r="H333" s="1002"/>
      <c r="I333" s="1002"/>
      <c r="J333" s="1067"/>
      <c r="K333" s="1148"/>
      <c r="L333" s="484">
        <f>L334+L335</f>
        <v>345802085.07999998</v>
      </c>
    </row>
    <row r="334" spans="1:12" ht="18.75" customHeight="1" x14ac:dyDescent="0.25">
      <c r="A334" s="1244"/>
      <c r="B334" s="956"/>
      <c r="C334" s="1003"/>
      <c r="D334" s="869" t="s">
        <v>283</v>
      </c>
      <c r="E334" s="366">
        <f>E337+E349</f>
        <v>346527085.07999998</v>
      </c>
      <c r="F334" s="773">
        <f>F337+F349</f>
        <v>17201919.050000001</v>
      </c>
      <c r="G334" s="1003"/>
      <c r="H334" s="1003"/>
      <c r="I334" s="1003"/>
      <c r="J334" s="1068"/>
      <c r="K334" s="1149"/>
      <c r="L334" s="485">
        <f>L337+L349</f>
        <v>345802085.07999998</v>
      </c>
    </row>
    <row r="335" spans="1:12" ht="18.75" customHeight="1" thickBot="1" x14ac:dyDescent="0.3">
      <c r="A335" s="1244"/>
      <c r="B335" s="957"/>
      <c r="C335" s="1004"/>
      <c r="D335" s="873" t="s">
        <v>282</v>
      </c>
      <c r="E335" s="367">
        <f>E338+E350</f>
        <v>0</v>
      </c>
      <c r="F335" s="774">
        <f>F338+F350</f>
        <v>0</v>
      </c>
      <c r="G335" s="1004"/>
      <c r="H335" s="1004"/>
      <c r="I335" s="1004"/>
      <c r="J335" s="1069"/>
      <c r="K335" s="1150"/>
      <c r="L335" s="488">
        <f>L338+L350</f>
        <v>0</v>
      </c>
    </row>
    <row r="336" spans="1:12" ht="18" customHeight="1" x14ac:dyDescent="0.25">
      <c r="A336" s="1244"/>
      <c r="B336" s="1121" t="s">
        <v>86</v>
      </c>
      <c r="C336" s="976"/>
      <c r="D336" s="766" t="s">
        <v>225</v>
      </c>
      <c r="E336" s="364">
        <f>E337+E338</f>
        <v>2344652</v>
      </c>
      <c r="F336" s="347">
        <f>F337+F338</f>
        <v>1412952</v>
      </c>
      <c r="G336" s="976"/>
      <c r="H336" s="976"/>
      <c r="I336" s="976"/>
      <c r="J336" s="1106"/>
      <c r="K336" s="1130"/>
      <c r="L336" s="353">
        <f>L337+L338</f>
        <v>2344652</v>
      </c>
    </row>
    <row r="337" spans="1:12" ht="18" customHeight="1" x14ac:dyDescent="0.25">
      <c r="A337" s="1244"/>
      <c r="B337" s="1122"/>
      <c r="C337" s="977"/>
      <c r="D337" s="856" t="s">
        <v>283</v>
      </c>
      <c r="E337" s="316">
        <f>E340+E343+E346</f>
        <v>2344652</v>
      </c>
      <c r="F337" s="771">
        <f>F340+F343+F346</f>
        <v>1412952</v>
      </c>
      <c r="G337" s="977"/>
      <c r="H337" s="977"/>
      <c r="I337" s="977"/>
      <c r="J337" s="1107"/>
      <c r="K337" s="1131"/>
      <c r="L337" s="145">
        <f>L340+L343+L346</f>
        <v>2344652</v>
      </c>
    </row>
    <row r="338" spans="1:12" ht="18" customHeight="1" thickBot="1" x14ac:dyDescent="0.3">
      <c r="A338" s="1244"/>
      <c r="B338" s="1123"/>
      <c r="C338" s="978"/>
      <c r="D338" s="857" t="s">
        <v>282</v>
      </c>
      <c r="E338" s="321">
        <f>E341+E344+E347</f>
        <v>0</v>
      </c>
      <c r="F338" s="772">
        <f>F341+F344+F347</f>
        <v>0</v>
      </c>
      <c r="G338" s="978"/>
      <c r="H338" s="978"/>
      <c r="I338" s="978"/>
      <c r="J338" s="1108"/>
      <c r="K338" s="1132"/>
      <c r="L338" s="352">
        <f>L341+L344+L347</f>
        <v>0</v>
      </c>
    </row>
    <row r="339" spans="1:12" ht="50.25" customHeight="1" x14ac:dyDescent="0.25">
      <c r="A339" s="1244"/>
      <c r="B339" s="1052" t="s">
        <v>618</v>
      </c>
      <c r="C339" s="976" t="s">
        <v>180</v>
      </c>
      <c r="D339" s="766" t="s">
        <v>225</v>
      </c>
      <c r="E339" s="349">
        <f>E340+E341</f>
        <v>802752</v>
      </c>
      <c r="F339" s="343">
        <f>F340+F341</f>
        <v>402000</v>
      </c>
      <c r="G339" s="976" t="s">
        <v>445</v>
      </c>
      <c r="H339" s="1118" t="s">
        <v>497</v>
      </c>
      <c r="I339" s="976" t="s">
        <v>363</v>
      </c>
      <c r="J339" s="1106">
        <v>341</v>
      </c>
      <c r="K339" s="1151">
        <v>119</v>
      </c>
      <c r="L339" s="353">
        <f>L340+L341</f>
        <v>802752</v>
      </c>
    </row>
    <row r="340" spans="1:12" ht="50.25" customHeight="1" x14ac:dyDescent="0.25">
      <c r="A340" s="1244"/>
      <c r="B340" s="1053"/>
      <c r="C340" s="977"/>
      <c r="D340" s="856" t="s">
        <v>283</v>
      </c>
      <c r="E340" s="350">
        <f>471340+331412</f>
        <v>802752</v>
      </c>
      <c r="F340" s="331">
        <f>235800+166200</f>
        <v>402000</v>
      </c>
      <c r="G340" s="977"/>
      <c r="H340" s="1119"/>
      <c r="I340" s="977"/>
      <c r="J340" s="1107"/>
      <c r="K340" s="1152"/>
      <c r="L340" s="145">
        <f>471340+331412</f>
        <v>802752</v>
      </c>
    </row>
    <row r="341" spans="1:12" ht="50.25" customHeight="1" thickBot="1" x14ac:dyDescent="0.3">
      <c r="A341" s="1244"/>
      <c r="B341" s="1054"/>
      <c r="C341" s="978"/>
      <c r="D341" s="857" t="s">
        <v>282</v>
      </c>
      <c r="E341" s="351">
        <f>0</f>
        <v>0</v>
      </c>
      <c r="F341" s="332">
        <v>0</v>
      </c>
      <c r="G341" s="978"/>
      <c r="H341" s="1120"/>
      <c r="I341" s="978"/>
      <c r="J341" s="1108"/>
      <c r="K341" s="1153"/>
      <c r="L341" s="352">
        <v>0</v>
      </c>
    </row>
    <row r="342" spans="1:12" ht="181.5" customHeight="1" x14ac:dyDescent="0.25">
      <c r="A342" s="1244"/>
      <c r="B342" s="1052" t="s">
        <v>430</v>
      </c>
      <c r="C342" s="976" t="s">
        <v>180</v>
      </c>
      <c r="D342" s="766" t="s">
        <v>225</v>
      </c>
      <c r="E342" s="349">
        <f>E343+E344</f>
        <v>480000</v>
      </c>
      <c r="F342" s="343">
        <f>F343+F344</f>
        <v>480000</v>
      </c>
      <c r="G342" s="976" t="s">
        <v>445</v>
      </c>
      <c r="H342" s="75" t="s">
        <v>498</v>
      </c>
      <c r="I342" s="976" t="s">
        <v>363</v>
      </c>
      <c r="J342" s="844">
        <v>190</v>
      </c>
      <c r="K342" s="819">
        <v>190</v>
      </c>
      <c r="L342" s="353">
        <f>L343+L344</f>
        <v>480000</v>
      </c>
    </row>
    <row r="343" spans="1:12" ht="90" customHeight="1" x14ac:dyDescent="0.25">
      <c r="A343" s="1244"/>
      <c r="B343" s="1053"/>
      <c r="C343" s="977"/>
      <c r="D343" s="856" t="s">
        <v>283</v>
      </c>
      <c r="E343" s="350">
        <f>250000+230000</f>
        <v>480000</v>
      </c>
      <c r="F343" s="331">
        <f>250000+230000</f>
        <v>480000</v>
      </c>
      <c r="G343" s="977"/>
      <c r="H343" s="1119" t="s">
        <v>499</v>
      </c>
      <c r="I343" s="977"/>
      <c r="J343" s="1098">
        <v>95</v>
      </c>
      <c r="K343" s="1128">
        <v>95</v>
      </c>
      <c r="L343" s="145">
        <f>250000+230000</f>
        <v>480000</v>
      </c>
    </row>
    <row r="344" spans="1:12" ht="90" customHeight="1" thickBot="1" x14ac:dyDescent="0.3">
      <c r="A344" s="1244"/>
      <c r="B344" s="1054"/>
      <c r="C344" s="978"/>
      <c r="D344" s="857" t="s">
        <v>282</v>
      </c>
      <c r="E344" s="351">
        <f>0</f>
        <v>0</v>
      </c>
      <c r="F344" s="332">
        <v>0</v>
      </c>
      <c r="G344" s="978"/>
      <c r="H344" s="1120"/>
      <c r="I344" s="978"/>
      <c r="J344" s="1099"/>
      <c r="K344" s="1129"/>
      <c r="L344" s="352">
        <v>0</v>
      </c>
    </row>
    <row r="345" spans="1:12" ht="116.25" customHeight="1" x14ac:dyDescent="0.25">
      <c r="A345" s="1244"/>
      <c r="B345" s="1053" t="s">
        <v>57</v>
      </c>
      <c r="C345" s="976" t="s">
        <v>180</v>
      </c>
      <c r="D345" s="897" t="s">
        <v>225</v>
      </c>
      <c r="E345" s="898">
        <f>E346+E347</f>
        <v>1061900</v>
      </c>
      <c r="F345" s="899">
        <f>F346+F347</f>
        <v>530952</v>
      </c>
      <c r="G345" s="977" t="s">
        <v>445</v>
      </c>
      <c r="H345" s="1118" t="s">
        <v>383</v>
      </c>
      <c r="I345" s="976" t="s">
        <v>363</v>
      </c>
      <c r="J345" s="1097">
        <v>68</v>
      </c>
      <c r="K345" s="1127">
        <v>52</v>
      </c>
      <c r="L345" s="940">
        <f>L346+L347</f>
        <v>1061900</v>
      </c>
    </row>
    <row r="346" spans="1:12" ht="116.25" customHeight="1" x14ac:dyDescent="0.25">
      <c r="A346" s="1244"/>
      <c r="B346" s="1053"/>
      <c r="C346" s="977"/>
      <c r="D346" s="856" t="s">
        <v>283</v>
      </c>
      <c r="E346" s="350">
        <v>1061900</v>
      </c>
      <c r="F346" s="331">
        <v>530952</v>
      </c>
      <c r="G346" s="977"/>
      <c r="H346" s="1119"/>
      <c r="I346" s="977"/>
      <c r="J346" s="1098"/>
      <c r="K346" s="1128"/>
      <c r="L346" s="771">
        <v>1061900</v>
      </c>
    </row>
    <row r="347" spans="1:12" ht="116.25" customHeight="1" thickBot="1" x14ac:dyDescent="0.3">
      <c r="A347" s="1244"/>
      <c r="B347" s="1053"/>
      <c r="C347" s="978"/>
      <c r="D347" s="769" t="s">
        <v>282</v>
      </c>
      <c r="E347" s="894">
        <f>0</f>
        <v>0</v>
      </c>
      <c r="F347" s="895">
        <v>0</v>
      </c>
      <c r="G347" s="978"/>
      <c r="H347" s="1120"/>
      <c r="I347" s="978"/>
      <c r="J347" s="1099"/>
      <c r="K347" s="1129"/>
      <c r="L347" s="780">
        <v>0</v>
      </c>
    </row>
    <row r="348" spans="1:12" ht="18" customHeight="1" x14ac:dyDescent="0.25">
      <c r="A348" s="1244"/>
      <c r="B348" s="1121" t="s">
        <v>87</v>
      </c>
      <c r="C348" s="976"/>
      <c r="D348" s="766" t="s">
        <v>225</v>
      </c>
      <c r="E348" s="364">
        <f>E349+E350</f>
        <v>344182433.07999998</v>
      </c>
      <c r="F348" s="347">
        <f>F349+F350</f>
        <v>15788967.050000001</v>
      </c>
      <c r="G348" s="976"/>
      <c r="H348" s="1055"/>
      <c r="I348" s="976"/>
      <c r="J348" s="1097"/>
      <c r="K348" s="1130"/>
      <c r="L348" s="353">
        <f>L349+L350</f>
        <v>343457433.07999998</v>
      </c>
    </row>
    <row r="349" spans="1:12" ht="18" customHeight="1" x14ac:dyDescent="0.25">
      <c r="A349" s="1244"/>
      <c r="B349" s="1122"/>
      <c r="C349" s="977"/>
      <c r="D349" s="856" t="s">
        <v>283</v>
      </c>
      <c r="E349" s="316">
        <f>E352+E355+E358+E361</f>
        <v>344182433.07999998</v>
      </c>
      <c r="F349" s="771">
        <f>F352+F355+F358+F361</f>
        <v>15788967.050000001</v>
      </c>
      <c r="G349" s="977"/>
      <c r="H349" s="1056"/>
      <c r="I349" s="977"/>
      <c r="J349" s="1098"/>
      <c r="K349" s="1131"/>
      <c r="L349" s="145">
        <f>L352+L355+L358+L361</f>
        <v>343457433.07999998</v>
      </c>
    </row>
    <row r="350" spans="1:12" ht="18" customHeight="1" thickBot="1" x14ac:dyDescent="0.3">
      <c r="A350" s="1244"/>
      <c r="B350" s="1123"/>
      <c r="C350" s="978"/>
      <c r="D350" s="857" t="s">
        <v>282</v>
      </c>
      <c r="E350" s="321">
        <f>E353+E356+E359+E362</f>
        <v>0</v>
      </c>
      <c r="F350" s="771">
        <f>F353+F356+F359+F362</f>
        <v>0</v>
      </c>
      <c r="G350" s="978"/>
      <c r="H350" s="1057"/>
      <c r="I350" s="978"/>
      <c r="J350" s="1099"/>
      <c r="K350" s="1132"/>
      <c r="L350" s="145">
        <f>L353+L356+L359+L362</f>
        <v>0</v>
      </c>
    </row>
    <row r="351" spans="1:12" ht="23.25" customHeight="1" x14ac:dyDescent="0.25">
      <c r="A351" s="1244"/>
      <c r="B351" s="1052" t="s">
        <v>520</v>
      </c>
      <c r="C351" s="976" t="s">
        <v>180</v>
      </c>
      <c r="D351" s="766" t="s">
        <v>225</v>
      </c>
      <c r="E351" s="349">
        <f>E352+E353</f>
        <v>21868435.460000001</v>
      </c>
      <c r="F351" s="343">
        <f>F352+F353</f>
        <v>985448.32</v>
      </c>
      <c r="G351" s="976" t="s">
        <v>445</v>
      </c>
      <c r="H351" s="1118" t="s">
        <v>563</v>
      </c>
      <c r="I351" s="976" t="s">
        <v>363</v>
      </c>
      <c r="J351" s="1106">
        <v>280</v>
      </c>
      <c r="K351" s="1142">
        <v>280</v>
      </c>
      <c r="L351" s="353">
        <f>L352+L353</f>
        <v>21868435.460000001</v>
      </c>
    </row>
    <row r="352" spans="1:12" ht="23.25" customHeight="1" x14ac:dyDescent="0.25">
      <c r="A352" s="1244"/>
      <c r="B352" s="1053"/>
      <c r="C352" s="977"/>
      <c r="D352" s="856" t="s">
        <v>283</v>
      </c>
      <c r="E352" s="350">
        <v>21868435.460000001</v>
      </c>
      <c r="F352" s="331">
        <v>985448.32</v>
      </c>
      <c r="G352" s="977"/>
      <c r="H352" s="1119"/>
      <c r="I352" s="977"/>
      <c r="J352" s="1107"/>
      <c r="K352" s="1143"/>
      <c r="L352" s="145">
        <v>21868435.460000001</v>
      </c>
    </row>
    <row r="353" spans="1:12" ht="23.25" customHeight="1" thickBot="1" x14ac:dyDescent="0.3">
      <c r="A353" s="1244"/>
      <c r="B353" s="1054"/>
      <c r="C353" s="978"/>
      <c r="D353" s="857" t="s">
        <v>282</v>
      </c>
      <c r="E353" s="351">
        <f>0</f>
        <v>0</v>
      </c>
      <c r="F353" s="332">
        <v>0</v>
      </c>
      <c r="G353" s="978"/>
      <c r="H353" s="1120"/>
      <c r="I353" s="978"/>
      <c r="J353" s="1108"/>
      <c r="K353" s="1144"/>
      <c r="L353" s="352">
        <v>0</v>
      </c>
    </row>
    <row r="354" spans="1:12" ht="45.75" customHeight="1" x14ac:dyDescent="0.25">
      <c r="A354" s="1244"/>
      <c r="B354" s="1052" t="s">
        <v>521</v>
      </c>
      <c r="C354" s="976" t="s">
        <v>180</v>
      </c>
      <c r="D354" s="766" t="s">
        <v>225</v>
      </c>
      <c r="E354" s="349">
        <f>E355+E356</f>
        <v>26348073.600000001</v>
      </c>
      <c r="F354" s="343">
        <f>F355+F356</f>
        <v>758538.52</v>
      </c>
      <c r="G354" s="976" t="s">
        <v>445</v>
      </c>
      <c r="H354" s="1118" t="s">
        <v>564</v>
      </c>
      <c r="I354" s="976" t="s">
        <v>363</v>
      </c>
      <c r="J354" s="1106">
        <v>16</v>
      </c>
      <c r="K354" s="1142">
        <v>16</v>
      </c>
      <c r="L354" s="353">
        <f>L355+L356</f>
        <v>26348073.600000001</v>
      </c>
    </row>
    <row r="355" spans="1:12" ht="45.75" customHeight="1" x14ac:dyDescent="0.25">
      <c r="A355" s="1244"/>
      <c r="B355" s="1053"/>
      <c r="C355" s="977"/>
      <c r="D355" s="856" t="s">
        <v>283</v>
      </c>
      <c r="E355" s="350">
        <v>26348073.600000001</v>
      </c>
      <c r="F355" s="331">
        <v>758538.52</v>
      </c>
      <c r="G355" s="977"/>
      <c r="H355" s="1119"/>
      <c r="I355" s="977"/>
      <c r="J355" s="1107"/>
      <c r="K355" s="1143"/>
      <c r="L355" s="145">
        <v>26348073.600000001</v>
      </c>
    </row>
    <row r="356" spans="1:12" ht="45.75" customHeight="1" thickBot="1" x14ac:dyDescent="0.3">
      <c r="A356" s="1244"/>
      <c r="B356" s="1054"/>
      <c r="C356" s="978"/>
      <c r="D356" s="857" t="s">
        <v>282</v>
      </c>
      <c r="E356" s="351">
        <f>0</f>
        <v>0</v>
      </c>
      <c r="F356" s="332">
        <v>0</v>
      </c>
      <c r="G356" s="978"/>
      <c r="H356" s="1120"/>
      <c r="I356" s="978"/>
      <c r="J356" s="1108"/>
      <c r="K356" s="1144"/>
      <c r="L356" s="352">
        <v>0</v>
      </c>
    </row>
    <row r="357" spans="1:12" ht="63.75" customHeight="1" x14ac:dyDescent="0.25">
      <c r="A357" s="1244"/>
      <c r="B357" s="1052" t="s">
        <v>522</v>
      </c>
      <c r="C357" s="976" t="s">
        <v>180</v>
      </c>
      <c r="D357" s="766" t="s">
        <v>225</v>
      </c>
      <c r="E357" s="349">
        <f>E358+E359</f>
        <v>284860443.88</v>
      </c>
      <c r="F357" s="343">
        <f>F358+F359</f>
        <v>14044429.9</v>
      </c>
      <c r="G357" s="976" t="s">
        <v>445</v>
      </c>
      <c r="H357" s="1118" t="s">
        <v>565</v>
      </c>
      <c r="I357" s="976" t="s">
        <v>363</v>
      </c>
      <c r="J357" s="1106">
        <v>50666</v>
      </c>
      <c r="K357" s="1142">
        <v>50666</v>
      </c>
      <c r="L357" s="353">
        <f>L358+L359</f>
        <v>284135443.88</v>
      </c>
    </row>
    <row r="358" spans="1:12" ht="63.75" customHeight="1" x14ac:dyDescent="0.25">
      <c r="A358" s="1244"/>
      <c r="B358" s="1053"/>
      <c r="C358" s="977"/>
      <c r="D358" s="856" t="s">
        <v>283</v>
      </c>
      <c r="E358" s="350">
        <v>284860443.88</v>
      </c>
      <c r="F358" s="331">
        <v>14044429.9</v>
      </c>
      <c r="G358" s="977"/>
      <c r="H358" s="1119"/>
      <c r="I358" s="977"/>
      <c r="J358" s="1107"/>
      <c r="K358" s="1143"/>
      <c r="L358" s="145">
        <v>284135443.88</v>
      </c>
    </row>
    <row r="359" spans="1:12" ht="63.75" customHeight="1" thickBot="1" x14ac:dyDescent="0.3">
      <c r="A359" s="1244"/>
      <c r="B359" s="1054"/>
      <c r="C359" s="978"/>
      <c r="D359" s="857" t="s">
        <v>282</v>
      </c>
      <c r="E359" s="351">
        <f>0</f>
        <v>0</v>
      </c>
      <c r="F359" s="332">
        <v>0</v>
      </c>
      <c r="G359" s="978"/>
      <c r="H359" s="1120"/>
      <c r="I359" s="978"/>
      <c r="J359" s="1108"/>
      <c r="K359" s="1144"/>
      <c r="L359" s="352">
        <v>0</v>
      </c>
    </row>
    <row r="360" spans="1:12" ht="63.75" customHeight="1" x14ac:dyDescent="0.25">
      <c r="A360" s="1244"/>
      <c r="B360" s="1052" t="s">
        <v>523</v>
      </c>
      <c r="C360" s="976" t="s">
        <v>180</v>
      </c>
      <c r="D360" s="766" t="s">
        <v>225</v>
      </c>
      <c r="E360" s="349">
        <f>E361+E362</f>
        <v>11105480.140000001</v>
      </c>
      <c r="F360" s="343">
        <f>F361+F362</f>
        <v>550.30999999999995</v>
      </c>
      <c r="G360" s="976" t="s">
        <v>445</v>
      </c>
      <c r="H360" s="1118" t="s">
        <v>566</v>
      </c>
      <c r="I360" s="976" t="s">
        <v>363</v>
      </c>
      <c r="J360" s="1106">
        <v>16499</v>
      </c>
      <c r="K360" s="1142">
        <v>2</v>
      </c>
      <c r="L360" s="353">
        <f>L361+L362</f>
        <v>11105480.140000001</v>
      </c>
    </row>
    <row r="361" spans="1:12" ht="63.75" customHeight="1" x14ac:dyDescent="0.25">
      <c r="A361" s="1244"/>
      <c r="B361" s="1053"/>
      <c r="C361" s="977"/>
      <c r="D361" s="856" t="s">
        <v>283</v>
      </c>
      <c r="E361" s="350">
        <v>11105480.140000001</v>
      </c>
      <c r="F361" s="331">
        <v>550.30999999999995</v>
      </c>
      <c r="G361" s="977"/>
      <c r="H361" s="1119"/>
      <c r="I361" s="977"/>
      <c r="J361" s="1107"/>
      <c r="K361" s="1143"/>
      <c r="L361" s="145">
        <v>11105480.140000001</v>
      </c>
    </row>
    <row r="362" spans="1:12" ht="63.75" customHeight="1" thickBot="1" x14ac:dyDescent="0.3">
      <c r="A362" s="1244"/>
      <c r="B362" s="1054"/>
      <c r="C362" s="978"/>
      <c r="D362" s="857" t="s">
        <v>282</v>
      </c>
      <c r="E362" s="351">
        <f>0</f>
        <v>0</v>
      </c>
      <c r="F362" s="332">
        <v>0</v>
      </c>
      <c r="G362" s="978"/>
      <c r="H362" s="1120"/>
      <c r="I362" s="978"/>
      <c r="J362" s="1108"/>
      <c r="K362" s="1144"/>
      <c r="L362" s="352">
        <v>0</v>
      </c>
    </row>
    <row r="363" spans="1:12" ht="18.75" customHeight="1" x14ac:dyDescent="0.25">
      <c r="A363" s="1055"/>
      <c r="B363" s="955" t="s">
        <v>89</v>
      </c>
      <c r="C363" s="1002" t="s">
        <v>180</v>
      </c>
      <c r="D363" s="865" t="s">
        <v>225</v>
      </c>
      <c r="E363" s="365">
        <f>E364+E365</f>
        <v>3532614200</v>
      </c>
      <c r="F363" s="797">
        <f>F364+F365</f>
        <v>1766307102</v>
      </c>
      <c r="G363" s="1002"/>
      <c r="H363" s="1002"/>
      <c r="I363" s="1002"/>
      <c r="J363" s="1033"/>
      <c r="K363" s="1036"/>
      <c r="L363" s="480">
        <f>L364+L365</f>
        <v>3532614200</v>
      </c>
    </row>
    <row r="364" spans="1:12" ht="18.75" customHeight="1" x14ac:dyDescent="0.25">
      <c r="A364" s="1056"/>
      <c r="B364" s="956"/>
      <c r="C364" s="1003"/>
      <c r="D364" s="869" t="s">
        <v>283</v>
      </c>
      <c r="E364" s="366">
        <f>E368</f>
        <v>3532614200</v>
      </c>
      <c r="F364" s="773">
        <f>F368</f>
        <v>1766307102</v>
      </c>
      <c r="G364" s="1003"/>
      <c r="H364" s="1003"/>
      <c r="I364" s="1003"/>
      <c r="J364" s="1034"/>
      <c r="K364" s="1037"/>
      <c r="L364" s="481">
        <f>L368</f>
        <v>3532614200</v>
      </c>
    </row>
    <row r="365" spans="1:12" ht="18.75" customHeight="1" x14ac:dyDescent="0.25">
      <c r="A365" s="1056"/>
      <c r="B365" s="956"/>
      <c r="C365" s="1003"/>
      <c r="D365" s="869" t="s">
        <v>282</v>
      </c>
      <c r="E365" s="366">
        <f>E369</f>
        <v>0</v>
      </c>
      <c r="F365" s="773">
        <f>F369</f>
        <v>0</v>
      </c>
      <c r="G365" s="1003"/>
      <c r="H365" s="1003"/>
      <c r="I365" s="1003"/>
      <c r="J365" s="1034"/>
      <c r="K365" s="1037"/>
      <c r="L365" s="803">
        <f>L369</f>
        <v>0</v>
      </c>
    </row>
    <row r="366" spans="1:12" ht="18.75" customHeight="1" thickBot="1" x14ac:dyDescent="0.3">
      <c r="A366" s="1056"/>
      <c r="B366" s="957"/>
      <c r="C366" s="1004"/>
      <c r="D366" s="826" t="s">
        <v>633</v>
      </c>
      <c r="E366" s="373">
        <f>E376</f>
        <v>10768098077.799999</v>
      </c>
      <c r="F366" s="804">
        <f>F376</f>
        <v>4866074930.5500002</v>
      </c>
      <c r="G366" s="1004"/>
      <c r="H366" s="1004"/>
      <c r="I366" s="1004"/>
      <c r="J366" s="1035"/>
      <c r="K366" s="1038"/>
      <c r="L366" s="488">
        <v>10768098077.799999</v>
      </c>
    </row>
    <row r="367" spans="1:12" ht="19.5" customHeight="1" x14ac:dyDescent="0.25">
      <c r="A367" s="1056"/>
      <c r="B367" s="1121" t="s">
        <v>91</v>
      </c>
      <c r="C367" s="976"/>
      <c r="D367" s="766" t="s">
        <v>225</v>
      </c>
      <c r="E367" s="364">
        <f>E368+E369</f>
        <v>3532614200</v>
      </c>
      <c r="F367" s="347">
        <f>F368+F369</f>
        <v>1766307102</v>
      </c>
      <c r="G367" s="976"/>
      <c r="H367" s="976"/>
      <c r="I367" s="976"/>
      <c r="J367" s="1097"/>
      <c r="K367" s="1103"/>
      <c r="L367" s="486">
        <f>L368+L369</f>
        <v>3532614200</v>
      </c>
    </row>
    <row r="368" spans="1:12" ht="19.5" customHeight="1" x14ac:dyDescent="0.25">
      <c r="A368" s="1056"/>
      <c r="B368" s="1122"/>
      <c r="C368" s="977"/>
      <c r="D368" s="856" t="s">
        <v>283</v>
      </c>
      <c r="E368" s="316">
        <f>E371</f>
        <v>3532614200</v>
      </c>
      <c r="F368" s="771">
        <f>F371</f>
        <v>1766307102</v>
      </c>
      <c r="G368" s="977"/>
      <c r="H368" s="977"/>
      <c r="I368" s="977"/>
      <c r="J368" s="1098"/>
      <c r="K368" s="1104"/>
      <c r="L368" s="467">
        <f>L371</f>
        <v>3532614200</v>
      </c>
    </row>
    <row r="369" spans="1:12" ht="19.5" customHeight="1" thickBot="1" x14ac:dyDescent="0.3">
      <c r="A369" s="1056"/>
      <c r="B369" s="1123"/>
      <c r="C369" s="978"/>
      <c r="D369" s="857" t="s">
        <v>282</v>
      </c>
      <c r="E369" s="321">
        <f>E372</f>
        <v>0</v>
      </c>
      <c r="F369" s="772">
        <f>F372</f>
        <v>0</v>
      </c>
      <c r="G369" s="978"/>
      <c r="H369" s="978"/>
      <c r="I369" s="978"/>
      <c r="J369" s="1099"/>
      <c r="K369" s="1105"/>
      <c r="L369" s="469">
        <f>L372</f>
        <v>0</v>
      </c>
    </row>
    <row r="370" spans="1:12" ht="28.5" customHeight="1" x14ac:dyDescent="0.25">
      <c r="A370" s="1056"/>
      <c r="B370" s="1053" t="s">
        <v>567</v>
      </c>
      <c r="C370" s="976" t="s">
        <v>180</v>
      </c>
      <c r="D370" s="897" t="s">
        <v>225</v>
      </c>
      <c r="E370" s="898">
        <f>E371+E372</f>
        <v>3532614200</v>
      </c>
      <c r="F370" s="899">
        <f>F371+F372</f>
        <v>1766307102</v>
      </c>
      <c r="G370" s="976" t="s">
        <v>445</v>
      </c>
      <c r="H370" s="1118" t="s">
        <v>384</v>
      </c>
      <c r="I370" s="976" t="s">
        <v>363</v>
      </c>
      <c r="J370" s="1106">
        <v>523614</v>
      </c>
      <c r="K370" s="1142">
        <v>523614</v>
      </c>
      <c r="L370" s="353">
        <f>L371+L372</f>
        <v>3532614200</v>
      </c>
    </row>
    <row r="371" spans="1:12" ht="28.5" customHeight="1" x14ac:dyDescent="0.25">
      <c r="A371" s="1056"/>
      <c r="B371" s="1053"/>
      <c r="C371" s="977"/>
      <c r="D371" s="856" t="s">
        <v>283</v>
      </c>
      <c r="E371" s="350">
        <v>3532614200</v>
      </c>
      <c r="F371" s="331">
        <v>1766307102</v>
      </c>
      <c r="G371" s="977"/>
      <c r="H371" s="1119"/>
      <c r="I371" s="977"/>
      <c r="J371" s="1107"/>
      <c r="K371" s="1143"/>
      <c r="L371" s="145">
        <v>3532614200</v>
      </c>
    </row>
    <row r="372" spans="1:12" ht="28.5" customHeight="1" thickBot="1" x14ac:dyDescent="0.3">
      <c r="A372" s="1057"/>
      <c r="B372" s="1054"/>
      <c r="C372" s="978"/>
      <c r="D372" s="857" t="s">
        <v>282</v>
      </c>
      <c r="E372" s="351">
        <f>0</f>
        <v>0</v>
      </c>
      <c r="F372" s="332">
        <v>0</v>
      </c>
      <c r="G372" s="978"/>
      <c r="H372" s="1120"/>
      <c r="I372" s="978"/>
      <c r="J372" s="1108"/>
      <c r="K372" s="1144"/>
      <c r="L372" s="352">
        <v>0</v>
      </c>
    </row>
    <row r="373" spans="1:12" ht="28.5" customHeight="1" x14ac:dyDescent="0.25">
      <c r="A373" s="838"/>
      <c r="B373" s="1121" t="s">
        <v>619</v>
      </c>
      <c r="C373" s="976" t="s">
        <v>180</v>
      </c>
      <c r="D373" s="766" t="s">
        <v>225</v>
      </c>
      <c r="E373" s="349">
        <f>E374+E375</f>
        <v>0</v>
      </c>
      <c r="F373" s="343">
        <f>F374+F375</f>
        <v>0</v>
      </c>
      <c r="G373" s="976"/>
      <c r="H373" s="976"/>
      <c r="I373" s="976"/>
      <c r="J373" s="1097"/>
      <c r="K373" s="1138"/>
      <c r="L373" s="353">
        <f>L374+L375</f>
        <v>0</v>
      </c>
    </row>
    <row r="374" spans="1:12" ht="28.5" customHeight="1" x14ac:dyDescent="0.25">
      <c r="A374" s="838"/>
      <c r="B374" s="1122"/>
      <c r="C374" s="977"/>
      <c r="D374" s="856" t="s">
        <v>283</v>
      </c>
      <c r="E374" s="350">
        <f>'таблица (всего)'!G124</f>
        <v>0</v>
      </c>
      <c r="F374" s="331"/>
      <c r="G374" s="977"/>
      <c r="H374" s="977"/>
      <c r="I374" s="977"/>
      <c r="J374" s="1098"/>
      <c r="K374" s="1139"/>
      <c r="L374" s="145">
        <v>0</v>
      </c>
    </row>
    <row r="375" spans="1:12" ht="28.5" customHeight="1" x14ac:dyDescent="0.25">
      <c r="A375" s="838"/>
      <c r="B375" s="1122"/>
      <c r="C375" s="977"/>
      <c r="D375" s="856" t="s">
        <v>282</v>
      </c>
      <c r="E375" s="350">
        <f>0</f>
        <v>0</v>
      </c>
      <c r="F375" s="331"/>
      <c r="G375" s="977"/>
      <c r="H375" s="977"/>
      <c r="I375" s="977"/>
      <c r="J375" s="1098"/>
      <c r="K375" s="1139"/>
      <c r="L375" s="145">
        <v>0</v>
      </c>
    </row>
    <row r="376" spans="1:12" ht="28.5" customHeight="1" thickBot="1" x14ac:dyDescent="0.3">
      <c r="A376" s="838"/>
      <c r="B376" s="1123"/>
      <c r="C376" s="978"/>
      <c r="D376" s="827" t="s">
        <v>633</v>
      </c>
      <c r="E376" s="369">
        <f>E377+E380</f>
        <v>10768098077.799999</v>
      </c>
      <c r="F376" s="357">
        <f>F377+F380</f>
        <v>4866074930.5500002</v>
      </c>
      <c r="G376" s="978"/>
      <c r="H376" s="978"/>
      <c r="I376" s="978"/>
      <c r="J376" s="1099"/>
      <c r="K376" s="1140"/>
      <c r="L376" s="807">
        <f>L377+L380</f>
        <v>10958987277.860001</v>
      </c>
    </row>
    <row r="377" spans="1:12" ht="57" customHeight="1" x14ac:dyDescent="0.25">
      <c r="A377" s="838"/>
      <c r="B377" s="1263" t="s">
        <v>620</v>
      </c>
      <c r="C377" s="1156" t="s">
        <v>180</v>
      </c>
      <c r="D377" s="909" t="s">
        <v>350</v>
      </c>
      <c r="E377" s="364">
        <f>E378+E379</f>
        <v>10767720880.799999</v>
      </c>
      <c r="F377" s="343">
        <f>F378+F379</f>
        <v>4866074930.5500002</v>
      </c>
      <c r="G377" s="976" t="s">
        <v>445</v>
      </c>
      <c r="H377" s="146" t="s">
        <v>389</v>
      </c>
      <c r="I377" s="841" t="s">
        <v>630</v>
      </c>
      <c r="J377" s="844">
        <v>172463</v>
      </c>
      <c r="K377" s="847">
        <v>75872</v>
      </c>
      <c r="L377" s="353">
        <f>L378</f>
        <v>10958258389.77</v>
      </c>
    </row>
    <row r="378" spans="1:12" ht="69" customHeight="1" thickBot="1" x14ac:dyDescent="0.3">
      <c r="A378" s="838"/>
      <c r="B378" s="1264"/>
      <c r="C378" s="1157"/>
      <c r="D378" s="911" t="s">
        <v>350</v>
      </c>
      <c r="E378" s="321">
        <v>10767720880.799999</v>
      </c>
      <c r="F378" s="332">
        <v>4866074930.5500002</v>
      </c>
      <c r="G378" s="977"/>
      <c r="H378" s="135" t="s">
        <v>390</v>
      </c>
      <c r="I378" s="842" t="s">
        <v>447</v>
      </c>
      <c r="J378" s="845">
        <v>60039</v>
      </c>
      <c r="K378" s="848">
        <v>25066</v>
      </c>
      <c r="L378" s="352">
        <v>10958258389.77</v>
      </c>
    </row>
    <row r="379" spans="1:12" ht="44.25" customHeight="1" thickBot="1" x14ac:dyDescent="0.3">
      <c r="A379" s="838"/>
      <c r="B379" s="1265"/>
      <c r="C379" s="1164"/>
      <c r="D379" s="830"/>
      <c r="E379" s="941"/>
      <c r="F379" s="942"/>
      <c r="G379" s="977"/>
      <c r="H379" s="811" t="s">
        <v>391</v>
      </c>
      <c r="I379" s="834"/>
      <c r="J379" s="810"/>
      <c r="K379" s="809"/>
      <c r="L379" s="939"/>
    </row>
    <row r="380" spans="1:12" ht="45" customHeight="1" x14ac:dyDescent="0.25">
      <c r="A380" s="838"/>
      <c r="B380" s="1052" t="s">
        <v>621</v>
      </c>
      <c r="C380" s="976" t="s">
        <v>180</v>
      </c>
      <c r="D380" s="909" t="s">
        <v>350</v>
      </c>
      <c r="E380" s="364">
        <f>E381+E382</f>
        <v>377197</v>
      </c>
      <c r="F380" s="343">
        <f>F381+F382</f>
        <v>0</v>
      </c>
      <c r="G380" s="976" t="s">
        <v>445</v>
      </c>
      <c r="H380" s="146" t="s">
        <v>622</v>
      </c>
      <c r="I380" s="841" t="s">
        <v>370</v>
      </c>
      <c r="J380" s="844">
        <v>2351537</v>
      </c>
      <c r="K380" s="847">
        <v>979061</v>
      </c>
      <c r="L380" s="353">
        <f>L381</f>
        <v>728888.09</v>
      </c>
    </row>
    <row r="381" spans="1:12" ht="34.5" customHeight="1" thickBot="1" x14ac:dyDescent="0.3">
      <c r="A381" s="838"/>
      <c r="B381" s="1053"/>
      <c r="C381" s="977"/>
      <c r="D381" s="911" t="s">
        <v>350</v>
      </c>
      <c r="E381" s="321">
        <v>377197</v>
      </c>
      <c r="F381" s="332">
        <v>0</v>
      </c>
      <c r="G381" s="977"/>
      <c r="H381" s="135" t="s">
        <v>623</v>
      </c>
      <c r="I381" s="842" t="s">
        <v>370</v>
      </c>
      <c r="J381" s="845">
        <v>560366</v>
      </c>
      <c r="K381" s="848">
        <v>239014</v>
      </c>
      <c r="L381" s="352">
        <v>728888.09</v>
      </c>
    </row>
    <row r="382" spans="1:12" ht="30.75" customHeight="1" x14ac:dyDescent="0.25">
      <c r="A382" s="838"/>
      <c r="B382" s="1053"/>
      <c r="C382" s="977"/>
      <c r="D382" s="1048"/>
      <c r="E382" s="1098"/>
      <c r="F382" s="1139"/>
      <c r="G382" s="977"/>
      <c r="H382" s="135" t="s">
        <v>624</v>
      </c>
      <c r="I382" s="842" t="s">
        <v>631</v>
      </c>
      <c r="J382" s="845">
        <v>1981295</v>
      </c>
      <c r="K382" s="848">
        <v>817459</v>
      </c>
      <c r="L382" s="1146"/>
    </row>
    <row r="383" spans="1:12" ht="108" customHeight="1" thickBot="1" x14ac:dyDescent="0.3">
      <c r="A383" s="838"/>
      <c r="B383" s="1054"/>
      <c r="C383" s="978"/>
      <c r="D383" s="967"/>
      <c r="E383" s="1099"/>
      <c r="F383" s="1140"/>
      <c r="G383" s="978"/>
      <c r="H383" s="136" t="s">
        <v>625</v>
      </c>
      <c r="I383" s="843" t="s">
        <v>632</v>
      </c>
      <c r="J383" s="846">
        <v>300196</v>
      </c>
      <c r="K383" s="849">
        <v>124912</v>
      </c>
      <c r="L383" s="1147"/>
    </row>
    <row r="384" spans="1:12" ht="16.5" customHeight="1" x14ac:dyDescent="0.25">
      <c r="A384" s="1055"/>
      <c r="B384" s="955" t="s">
        <v>38</v>
      </c>
      <c r="C384" s="1002" t="s">
        <v>180</v>
      </c>
      <c r="D384" s="865" t="s">
        <v>225</v>
      </c>
      <c r="E384" s="365">
        <f>E385+E386</f>
        <v>12420000</v>
      </c>
      <c r="F384" s="797">
        <f>F385+F386</f>
        <v>6210000</v>
      </c>
      <c r="G384" s="1002"/>
      <c r="H384" s="1002"/>
      <c r="I384" s="1002"/>
      <c r="J384" s="1067"/>
      <c r="K384" s="1148"/>
      <c r="L384" s="484">
        <f>L385+L386</f>
        <v>12420000</v>
      </c>
    </row>
    <row r="385" spans="1:12" ht="16.5" customHeight="1" x14ac:dyDescent="0.25">
      <c r="A385" s="1056"/>
      <c r="B385" s="956"/>
      <c r="C385" s="1003"/>
      <c r="D385" s="869" t="s">
        <v>283</v>
      </c>
      <c r="E385" s="366">
        <f>E388</f>
        <v>12420000</v>
      </c>
      <c r="F385" s="773">
        <f>F388</f>
        <v>6210000</v>
      </c>
      <c r="G385" s="1003"/>
      <c r="H385" s="1003"/>
      <c r="I385" s="1003"/>
      <c r="J385" s="1068"/>
      <c r="K385" s="1149"/>
      <c r="L385" s="485">
        <f>L388</f>
        <v>12420000</v>
      </c>
    </row>
    <row r="386" spans="1:12" ht="16.5" customHeight="1" thickBot="1" x14ac:dyDescent="0.3">
      <c r="A386" s="1056"/>
      <c r="B386" s="957"/>
      <c r="C386" s="1004"/>
      <c r="D386" s="873" t="s">
        <v>282</v>
      </c>
      <c r="E386" s="367">
        <f>E389</f>
        <v>0</v>
      </c>
      <c r="F386" s="774">
        <f>F389</f>
        <v>0</v>
      </c>
      <c r="G386" s="1004"/>
      <c r="H386" s="1004"/>
      <c r="I386" s="1004"/>
      <c r="J386" s="1069"/>
      <c r="K386" s="1150"/>
      <c r="L386" s="488">
        <f>L389</f>
        <v>0</v>
      </c>
    </row>
    <row r="387" spans="1:12" ht="16.5" customHeight="1" x14ac:dyDescent="0.25">
      <c r="A387" s="1056"/>
      <c r="B387" s="1121" t="s">
        <v>94</v>
      </c>
      <c r="C387" s="976"/>
      <c r="D387" s="766" t="s">
        <v>225</v>
      </c>
      <c r="E387" s="364">
        <f>E388+E389</f>
        <v>12420000</v>
      </c>
      <c r="F387" s="347">
        <f>F388+F389</f>
        <v>6210000</v>
      </c>
      <c r="G387" s="976"/>
      <c r="H387" s="976"/>
      <c r="I387" s="976"/>
      <c r="J387" s="1097"/>
      <c r="K387" s="1109"/>
      <c r="L387" s="353">
        <f>L388+L389</f>
        <v>12420000</v>
      </c>
    </row>
    <row r="388" spans="1:12" ht="16.5" customHeight="1" x14ac:dyDescent="0.25">
      <c r="A388" s="1056"/>
      <c r="B388" s="1122"/>
      <c r="C388" s="977"/>
      <c r="D388" s="856" t="s">
        <v>283</v>
      </c>
      <c r="E388" s="316">
        <f>E391+E394</f>
        <v>12420000</v>
      </c>
      <c r="F388" s="771">
        <f>F391+F394</f>
        <v>6210000</v>
      </c>
      <c r="G388" s="977"/>
      <c r="H388" s="977"/>
      <c r="I388" s="977"/>
      <c r="J388" s="1098"/>
      <c r="K388" s="1110"/>
      <c r="L388" s="145">
        <f>L391+L394</f>
        <v>12420000</v>
      </c>
    </row>
    <row r="389" spans="1:12" ht="16.5" customHeight="1" thickBot="1" x14ac:dyDescent="0.3">
      <c r="A389" s="1056"/>
      <c r="B389" s="1123"/>
      <c r="C389" s="978"/>
      <c r="D389" s="857" t="s">
        <v>282</v>
      </c>
      <c r="E389" s="321">
        <f>E392+E395</f>
        <v>0</v>
      </c>
      <c r="F389" s="772">
        <f>F392+F395</f>
        <v>0</v>
      </c>
      <c r="G389" s="978"/>
      <c r="H389" s="978"/>
      <c r="I389" s="978"/>
      <c r="J389" s="1099"/>
      <c r="K389" s="1111"/>
      <c r="L389" s="352">
        <f>L392+L395</f>
        <v>0</v>
      </c>
    </row>
    <row r="390" spans="1:12" ht="45.75" customHeight="1" x14ac:dyDescent="0.25">
      <c r="A390" s="1056"/>
      <c r="B390" s="1052" t="s">
        <v>579</v>
      </c>
      <c r="C390" s="976" t="s">
        <v>180</v>
      </c>
      <c r="D390" s="766" t="s">
        <v>225</v>
      </c>
      <c r="E390" s="349">
        <f>E391+E392</f>
        <v>9420000</v>
      </c>
      <c r="F390" s="343">
        <f>F391+F392</f>
        <v>4710000</v>
      </c>
      <c r="G390" s="976" t="s">
        <v>445</v>
      </c>
      <c r="H390" s="1118" t="s">
        <v>388</v>
      </c>
      <c r="I390" s="976" t="s">
        <v>353</v>
      </c>
      <c r="J390" s="1097">
        <v>85</v>
      </c>
      <c r="K390" s="1138">
        <v>88</v>
      </c>
      <c r="L390" s="486">
        <f>L391+L392</f>
        <v>9420000</v>
      </c>
    </row>
    <row r="391" spans="1:12" ht="45.75" customHeight="1" x14ac:dyDescent="0.25">
      <c r="A391" s="1056"/>
      <c r="B391" s="1053"/>
      <c r="C391" s="977"/>
      <c r="D391" s="856" t="s">
        <v>283</v>
      </c>
      <c r="E391" s="350">
        <v>9420000</v>
      </c>
      <c r="F391" s="331">
        <v>4710000</v>
      </c>
      <c r="G391" s="977"/>
      <c r="H391" s="1119"/>
      <c r="I391" s="977"/>
      <c r="J391" s="1098"/>
      <c r="K391" s="1139"/>
      <c r="L391" s="467">
        <v>9420000</v>
      </c>
    </row>
    <row r="392" spans="1:12" ht="45.75" customHeight="1" thickBot="1" x14ac:dyDescent="0.3">
      <c r="A392" s="1056"/>
      <c r="B392" s="1054"/>
      <c r="C392" s="978"/>
      <c r="D392" s="857" t="s">
        <v>282</v>
      </c>
      <c r="E392" s="351">
        <f>0</f>
        <v>0</v>
      </c>
      <c r="F392" s="332">
        <v>0</v>
      </c>
      <c r="G392" s="978"/>
      <c r="H392" s="1120"/>
      <c r="I392" s="978"/>
      <c r="J392" s="1099"/>
      <c r="K392" s="1140"/>
      <c r="L392" s="469">
        <v>0</v>
      </c>
    </row>
    <row r="393" spans="1:12" ht="45" customHeight="1" x14ac:dyDescent="0.25">
      <c r="A393" s="1056"/>
      <c r="B393" s="1052" t="s">
        <v>578</v>
      </c>
      <c r="C393" s="976" t="s">
        <v>180</v>
      </c>
      <c r="D393" s="766" t="s">
        <v>225</v>
      </c>
      <c r="E393" s="349">
        <f>E394+E395</f>
        <v>3000000</v>
      </c>
      <c r="F393" s="343">
        <f>F394+F395</f>
        <v>1500000</v>
      </c>
      <c r="G393" s="976" t="s">
        <v>445</v>
      </c>
      <c r="H393" s="1118" t="s">
        <v>387</v>
      </c>
      <c r="I393" s="976" t="s">
        <v>353</v>
      </c>
      <c r="J393" s="1097">
        <v>95</v>
      </c>
      <c r="K393" s="1138">
        <v>98</v>
      </c>
      <c r="L393" s="353">
        <f>L394+L395</f>
        <v>3000000</v>
      </c>
    </row>
    <row r="394" spans="1:12" ht="45" customHeight="1" x14ac:dyDescent="0.25">
      <c r="A394" s="1056"/>
      <c r="B394" s="1053"/>
      <c r="C394" s="977"/>
      <c r="D394" s="856" t="s">
        <v>283</v>
      </c>
      <c r="E394" s="350">
        <v>3000000</v>
      </c>
      <c r="F394" s="331">
        <v>1500000</v>
      </c>
      <c r="G394" s="977"/>
      <c r="H394" s="1119"/>
      <c r="I394" s="977"/>
      <c r="J394" s="1098"/>
      <c r="K394" s="1139"/>
      <c r="L394" s="145">
        <v>3000000</v>
      </c>
    </row>
    <row r="395" spans="1:12" ht="45" customHeight="1" thickBot="1" x14ac:dyDescent="0.3">
      <c r="A395" s="1057"/>
      <c r="B395" s="1054"/>
      <c r="C395" s="978"/>
      <c r="D395" s="857" t="s">
        <v>282</v>
      </c>
      <c r="E395" s="351">
        <f>0</f>
        <v>0</v>
      </c>
      <c r="F395" s="332">
        <v>0</v>
      </c>
      <c r="G395" s="978"/>
      <c r="H395" s="1120"/>
      <c r="I395" s="978"/>
      <c r="J395" s="1099"/>
      <c r="K395" s="1140"/>
      <c r="L395" s="352">
        <v>0</v>
      </c>
    </row>
    <row r="396" spans="1:12" ht="29.25" customHeight="1" x14ac:dyDescent="0.25">
      <c r="A396" s="1055"/>
      <c r="B396" s="979" t="s">
        <v>37</v>
      </c>
      <c r="C396" s="1002" t="s">
        <v>180</v>
      </c>
      <c r="D396" s="865" t="s">
        <v>225</v>
      </c>
      <c r="E396" s="365">
        <f>E397+E398</f>
        <v>21000000</v>
      </c>
      <c r="F396" s="797">
        <f>F397+F398</f>
        <v>0</v>
      </c>
      <c r="G396" s="1002"/>
      <c r="H396" s="1002"/>
      <c r="I396" s="1002"/>
      <c r="J396" s="1033"/>
      <c r="K396" s="1036"/>
      <c r="L396" s="480">
        <f>L397+L398</f>
        <v>21000000</v>
      </c>
    </row>
    <row r="397" spans="1:12" ht="29.25" customHeight="1" x14ac:dyDescent="0.25">
      <c r="A397" s="1056"/>
      <c r="B397" s="980"/>
      <c r="C397" s="1003"/>
      <c r="D397" s="869" t="s">
        <v>283</v>
      </c>
      <c r="E397" s="366">
        <f>E400+E410</f>
        <v>8602800</v>
      </c>
      <c r="F397" s="773">
        <f>F407</f>
        <v>0</v>
      </c>
      <c r="G397" s="1003"/>
      <c r="H397" s="1003"/>
      <c r="I397" s="1003"/>
      <c r="J397" s="1034"/>
      <c r="K397" s="1037"/>
      <c r="L397" s="481">
        <f>L407</f>
        <v>8602800</v>
      </c>
    </row>
    <row r="398" spans="1:12" ht="29.25" customHeight="1" thickBot="1" x14ac:dyDescent="0.3">
      <c r="A398" s="1056"/>
      <c r="B398" s="981"/>
      <c r="C398" s="1004"/>
      <c r="D398" s="873" t="s">
        <v>282</v>
      </c>
      <c r="E398" s="367">
        <f>E408</f>
        <v>12397200</v>
      </c>
      <c r="F398" s="774">
        <f>F408</f>
        <v>0</v>
      </c>
      <c r="G398" s="1004"/>
      <c r="H398" s="1004"/>
      <c r="I398" s="1004"/>
      <c r="J398" s="1035"/>
      <c r="K398" s="1038"/>
      <c r="L398" s="482">
        <f>L408</f>
        <v>12397200</v>
      </c>
    </row>
    <row r="399" spans="1:12" ht="162" customHeight="1" x14ac:dyDescent="0.25">
      <c r="A399" s="1056"/>
      <c r="B399" s="1070" t="s">
        <v>580</v>
      </c>
      <c r="C399" s="970" t="s">
        <v>180</v>
      </c>
      <c r="D399" s="766" t="s">
        <v>225</v>
      </c>
      <c r="E399" s="364">
        <f>E400+E401</f>
        <v>0</v>
      </c>
      <c r="F399" s="361">
        <f>F400+F401</f>
        <v>0</v>
      </c>
      <c r="G399" s="970" t="s">
        <v>445</v>
      </c>
      <c r="H399" s="855" t="s">
        <v>581</v>
      </c>
      <c r="I399" s="814" t="s">
        <v>363</v>
      </c>
      <c r="J399" s="815">
        <v>2417</v>
      </c>
      <c r="K399" s="819">
        <v>1208</v>
      </c>
      <c r="L399" s="798">
        <f>L400+L401</f>
        <v>0</v>
      </c>
    </row>
    <row r="400" spans="1:12" ht="179.25" customHeight="1" x14ac:dyDescent="0.25">
      <c r="A400" s="1056"/>
      <c r="B400" s="1071"/>
      <c r="C400" s="971"/>
      <c r="D400" s="856" t="s">
        <v>283</v>
      </c>
      <c r="E400" s="316">
        <v>0</v>
      </c>
      <c r="F400" s="362">
        <f>F403+F409</f>
        <v>0</v>
      </c>
      <c r="G400" s="971"/>
      <c r="H400" s="856" t="s">
        <v>582</v>
      </c>
      <c r="I400" s="816" t="s">
        <v>363</v>
      </c>
      <c r="J400" s="817">
        <v>54</v>
      </c>
      <c r="K400" s="820">
        <v>26</v>
      </c>
      <c r="L400" s="799">
        <v>0</v>
      </c>
    </row>
    <row r="401" spans="1:12" ht="178.5" customHeight="1" thickBot="1" x14ac:dyDescent="0.3">
      <c r="A401" s="1056"/>
      <c r="B401" s="1071"/>
      <c r="C401" s="971"/>
      <c r="D401" s="857" t="s">
        <v>284</v>
      </c>
      <c r="E401" s="321">
        <v>0</v>
      </c>
      <c r="F401" s="363">
        <f>F404+F410</f>
        <v>0</v>
      </c>
      <c r="G401" s="971"/>
      <c r="H401" s="856" t="s">
        <v>583</v>
      </c>
      <c r="I401" s="792" t="s">
        <v>363</v>
      </c>
      <c r="J401" s="817">
        <v>837</v>
      </c>
      <c r="K401" s="820">
        <v>418</v>
      </c>
      <c r="L401" s="799">
        <v>0</v>
      </c>
    </row>
    <row r="402" spans="1:12" ht="159.75" customHeight="1" x14ac:dyDescent="0.25">
      <c r="A402" s="1056"/>
      <c r="B402" s="1071"/>
      <c r="C402" s="971"/>
      <c r="D402" s="970"/>
      <c r="E402" s="1222"/>
      <c r="F402" s="1225"/>
      <c r="G402" s="971"/>
      <c r="H402" s="856" t="s">
        <v>584</v>
      </c>
      <c r="I402" s="816" t="s">
        <v>363</v>
      </c>
      <c r="J402" s="817">
        <v>1580</v>
      </c>
      <c r="K402" s="820">
        <v>790</v>
      </c>
      <c r="L402" s="1176"/>
    </row>
    <row r="403" spans="1:12" ht="156" customHeight="1" x14ac:dyDescent="0.25">
      <c r="A403" s="1056"/>
      <c r="B403" s="1071"/>
      <c r="C403" s="971"/>
      <c r="D403" s="971"/>
      <c r="E403" s="1223"/>
      <c r="F403" s="1226"/>
      <c r="G403" s="971"/>
      <c r="H403" s="856" t="s">
        <v>585</v>
      </c>
      <c r="I403" s="818" t="s">
        <v>353</v>
      </c>
      <c r="J403" s="817">
        <v>1.4</v>
      </c>
      <c r="K403" s="820">
        <v>1.4</v>
      </c>
      <c r="L403" s="1177"/>
    </row>
    <row r="404" spans="1:12" ht="189.75" customHeight="1" x14ac:dyDescent="0.25">
      <c r="A404" s="1056"/>
      <c r="B404" s="1071"/>
      <c r="C404" s="971"/>
      <c r="D404" s="971"/>
      <c r="E404" s="1223"/>
      <c r="F404" s="1226"/>
      <c r="G404" s="971"/>
      <c r="H404" s="856" t="s">
        <v>586</v>
      </c>
      <c r="I404" s="818" t="s">
        <v>353</v>
      </c>
      <c r="J404" s="817">
        <v>86</v>
      </c>
      <c r="K404" s="820">
        <v>0</v>
      </c>
      <c r="L404" s="1177"/>
    </row>
    <row r="405" spans="1:12" ht="29.25" customHeight="1" thickBot="1" x14ac:dyDescent="0.3">
      <c r="A405" s="1056"/>
      <c r="B405" s="1072"/>
      <c r="C405" s="972"/>
      <c r="D405" s="972"/>
      <c r="E405" s="1224"/>
      <c r="F405" s="1227"/>
      <c r="G405" s="972"/>
      <c r="H405" s="830" t="s">
        <v>587</v>
      </c>
      <c r="I405" s="823" t="s">
        <v>353</v>
      </c>
      <c r="J405" s="808">
        <v>20</v>
      </c>
      <c r="K405" s="829">
        <v>20</v>
      </c>
      <c r="L405" s="1178"/>
    </row>
    <row r="406" spans="1:12" ht="27.75" customHeight="1" x14ac:dyDescent="0.25">
      <c r="A406" s="1056"/>
      <c r="B406" s="1070" t="s">
        <v>96</v>
      </c>
      <c r="C406" s="976" t="s">
        <v>180</v>
      </c>
      <c r="D406" s="766" t="s">
        <v>225</v>
      </c>
      <c r="E406" s="364">
        <f>E407+E408</f>
        <v>21000000</v>
      </c>
      <c r="F406" s="361">
        <f>F407+F408</f>
        <v>0</v>
      </c>
      <c r="G406" s="976"/>
      <c r="H406" s="976"/>
      <c r="I406" s="976"/>
      <c r="J406" s="1097"/>
      <c r="K406" s="1103"/>
      <c r="L406" s="353">
        <f>L407+L408</f>
        <v>21000000</v>
      </c>
    </row>
    <row r="407" spans="1:12" ht="27.75" customHeight="1" x14ac:dyDescent="0.25">
      <c r="A407" s="1056"/>
      <c r="B407" s="1071"/>
      <c r="C407" s="977"/>
      <c r="D407" s="856" t="s">
        <v>283</v>
      </c>
      <c r="E407" s="316">
        <f>E410</f>
        <v>8602800</v>
      </c>
      <c r="F407" s="771">
        <f>F410</f>
        <v>0</v>
      </c>
      <c r="G407" s="977"/>
      <c r="H407" s="977"/>
      <c r="I407" s="977"/>
      <c r="J407" s="1098"/>
      <c r="K407" s="1104"/>
      <c r="L407" s="145">
        <f>L410</f>
        <v>8602800</v>
      </c>
    </row>
    <row r="408" spans="1:12" ht="27.75" customHeight="1" thickBot="1" x14ac:dyDescent="0.3">
      <c r="A408" s="1056"/>
      <c r="B408" s="1072"/>
      <c r="C408" s="978"/>
      <c r="D408" s="857" t="s">
        <v>282</v>
      </c>
      <c r="E408" s="321">
        <f>E411</f>
        <v>12397200</v>
      </c>
      <c r="F408" s="772">
        <f>F411</f>
        <v>0</v>
      </c>
      <c r="G408" s="978"/>
      <c r="H408" s="978"/>
      <c r="I408" s="978"/>
      <c r="J408" s="1099"/>
      <c r="K408" s="1105"/>
      <c r="L408" s="352">
        <f>L411</f>
        <v>12397200</v>
      </c>
    </row>
    <row r="409" spans="1:12" ht="94.5" customHeight="1" x14ac:dyDescent="0.25">
      <c r="A409" s="1056"/>
      <c r="B409" s="1266" t="s">
        <v>626</v>
      </c>
      <c r="C409" s="976" t="s">
        <v>180</v>
      </c>
      <c r="D409" s="766" t="s">
        <v>225</v>
      </c>
      <c r="E409" s="349">
        <f>E410+E411</f>
        <v>21000000</v>
      </c>
      <c r="F409" s="343">
        <f>F410+F411</f>
        <v>0</v>
      </c>
      <c r="G409" s="976" t="s">
        <v>445</v>
      </c>
      <c r="H409" s="75" t="s">
        <v>627</v>
      </c>
      <c r="I409" s="841" t="s">
        <v>363</v>
      </c>
      <c r="J409" s="906">
        <v>21</v>
      </c>
      <c r="K409" s="943">
        <v>0</v>
      </c>
      <c r="L409" s="353">
        <f>L410+L411</f>
        <v>21000000</v>
      </c>
    </row>
    <row r="410" spans="1:12" ht="66" customHeight="1" x14ac:dyDescent="0.25">
      <c r="A410" s="1056"/>
      <c r="B410" s="1267"/>
      <c r="C410" s="977"/>
      <c r="D410" s="856" t="s">
        <v>283</v>
      </c>
      <c r="E410" s="350">
        <v>8602800</v>
      </c>
      <c r="F410" s="331">
        <v>0</v>
      </c>
      <c r="G410" s="977"/>
      <c r="H410" s="1133" t="s">
        <v>628</v>
      </c>
      <c r="I410" s="1164" t="s">
        <v>357</v>
      </c>
      <c r="J410" s="1167">
        <v>84</v>
      </c>
      <c r="K410" s="1228">
        <v>0</v>
      </c>
      <c r="L410" s="145">
        <v>8602800</v>
      </c>
    </row>
    <row r="411" spans="1:12" ht="66" customHeight="1" thickBot="1" x14ac:dyDescent="0.3">
      <c r="A411" s="1056"/>
      <c r="B411" s="1268"/>
      <c r="C411" s="978"/>
      <c r="D411" s="857" t="s">
        <v>282</v>
      </c>
      <c r="E411" s="351">
        <v>12397200</v>
      </c>
      <c r="F411" s="332">
        <v>0</v>
      </c>
      <c r="G411" s="978"/>
      <c r="H411" s="1120"/>
      <c r="I411" s="978"/>
      <c r="J411" s="1099"/>
      <c r="K411" s="1229"/>
      <c r="L411" s="352">
        <v>12397200</v>
      </c>
    </row>
    <row r="412" spans="1:12" ht="20.25" hidden="1" customHeight="1" x14ac:dyDescent="0.25">
      <c r="A412" s="812"/>
      <c r="B412" s="828"/>
      <c r="C412" s="490"/>
      <c r="D412" s="490"/>
      <c r="E412" s="323"/>
      <c r="F412" s="323"/>
      <c r="G412" s="812"/>
      <c r="H412" s="490"/>
      <c r="I412" s="812"/>
      <c r="J412" s="743"/>
      <c r="K412" s="490"/>
      <c r="L412" s="490"/>
    </row>
    <row r="413" spans="1:12" ht="23.25" hidden="1" customHeight="1" x14ac:dyDescent="0.25">
      <c r="B413" s="499"/>
      <c r="L413" s="472" t="s">
        <v>333</v>
      </c>
    </row>
    <row r="414" spans="1:12" ht="31.5" hidden="1" customHeight="1" x14ac:dyDescent="0.25">
      <c r="A414" s="1124" t="s">
        <v>427</v>
      </c>
      <c r="B414" s="1124"/>
      <c r="C414" s="1124"/>
      <c r="D414" s="1124"/>
      <c r="E414" s="1124"/>
      <c r="F414" s="1124"/>
      <c r="G414" s="1124"/>
      <c r="H414" s="1124"/>
      <c r="I414" s="1124"/>
      <c r="J414" s="1124"/>
      <c r="K414" s="1124"/>
      <c r="L414" s="1124"/>
    </row>
    <row r="415" spans="1:12" ht="12.75" hidden="1" customHeight="1" x14ac:dyDescent="0.25">
      <c r="A415" s="750"/>
      <c r="B415" s="851" t="s">
        <v>334</v>
      </c>
      <c r="C415" s="1125" t="s">
        <v>392</v>
      </c>
      <c r="D415" s="1125"/>
      <c r="E415" s="1125"/>
      <c r="F415" s="319"/>
      <c r="G415" s="832"/>
    </row>
    <row r="416" spans="1:12" ht="12.75" hidden="1" customHeight="1" x14ac:dyDescent="0.25">
      <c r="A416" s="750"/>
      <c r="B416" s="851" t="s">
        <v>175</v>
      </c>
      <c r="C416" s="1096" t="s">
        <v>180</v>
      </c>
      <c r="D416" s="1096"/>
      <c r="E416" s="1096"/>
      <c r="F416" s="319"/>
      <c r="G416" s="832"/>
    </row>
    <row r="417" spans="1:12" ht="14.25" hidden="1" customHeight="1" thickBot="1" x14ac:dyDescent="0.3">
      <c r="A417" s="812"/>
      <c r="B417" s="828"/>
      <c r="C417" s="490"/>
      <c r="D417" s="490"/>
      <c r="E417" s="323"/>
      <c r="F417" s="323"/>
      <c r="G417" s="812"/>
      <c r="H417" s="490"/>
      <c r="I417" s="812"/>
      <c r="J417" s="743"/>
      <c r="K417" s="490"/>
      <c r="L417" s="490"/>
    </row>
    <row r="418" spans="1:12" ht="89.25" hidden="1" customHeight="1" thickBot="1" x14ac:dyDescent="0.3">
      <c r="A418" s="752" t="s">
        <v>245</v>
      </c>
      <c r="B418" s="753" t="s">
        <v>337</v>
      </c>
      <c r="C418" s="754" t="s">
        <v>175</v>
      </c>
      <c r="D418" s="754" t="s">
        <v>338</v>
      </c>
      <c r="E418" s="320" t="s">
        <v>339</v>
      </c>
      <c r="F418" s="330" t="s">
        <v>340</v>
      </c>
      <c r="G418" s="552" t="s">
        <v>341</v>
      </c>
      <c r="H418" s="181" t="s">
        <v>342</v>
      </c>
      <c r="I418" s="181" t="s">
        <v>343</v>
      </c>
      <c r="J418" s="744" t="s">
        <v>344</v>
      </c>
      <c r="K418" s="755" t="s">
        <v>345</v>
      </c>
      <c r="L418" s="474" t="s">
        <v>346</v>
      </c>
    </row>
    <row r="419" spans="1:12" ht="14.25" hidden="1" customHeight="1" thickBot="1" x14ac:dyDescent="0.3">
      <c r="A419" s="756">
        <v>1</v>
      </c>
      <c r="B419" s="753">
        <v>2</v>
      </c>
      <c r="C419" s="757">
        <v>3</v>
      </c>
      <c r="D419" s="754">
        <v>4</v>
      </c>
      <c r="E419" s="341">
        <v>5</v>
      </c>
      <c r="F419" s="342">
        <v>6</v>
      </c>
      <c r="G419" s="552">
        <v>7</v>
      </c>
      <c r="H419" s="552">
        <v>8</v>
      </c>
      <c r="I419" s="552">
        <v>9</v>
      </c>
      <c r="J419" s="745">
        <v>10</v>
      </c>
      <c r="K419" s="758">
        <v>11</v>
      </c>
      <c r="L419" s="491">
        <v>12</v>
      </c>
    </row>
    <row r="420" spans="1:12" hidden="1" x14ac:dyDescent="0.25">
      <c r="A420" s="1185"/>
      <c r="B420" s="1070" t="s">
        <v>145</v>
      </c>
      <c r="C420" s="1084" t="s">
        <v>180</v>
      </c>
      <c r="D420" s="346" t="s">
        <v>393</v>
      </c>
      <c r="E420" s="364">
        <f>E421</f>
        <v>78308573.370000005</v>
      </c>
      <c r="F420" s="347">
        <f>F421</f>
        <v>42664928.300000004</v>
      </c>
      <c r="G420" s="1084"/>
      <c r="H420" s="1084"/>
      <c r="I420" s="1084"/>
      <c r="J420" s="1087"/>
      <c r="K420" s="1090"/>
      <c r="L420" s="353">
        <f>L421</f>
        <v>83522175.439999998</v>
      </c>
    </row>
    <row r="421" spans="1:12" hidden="1" x14ac:dyDescent="0.25">
      <c r="A421" s="1186"/>
      <c r="B421" s="1071"/>
      <c r="C421" s="1085"/>
      <c r="D421" s="786" t="s">
        <v>394</v>
      </c>
      <c r="E421" s="368">
        <f>E422+E423</f>
        <v>78308573.370000005</v>
      </c>
      <c r="F421" s="805">
        <f>F422+F423</f>
        <v>42664928.300000004</v>
      </c>
      <c r="G421" s="1085"/>
      <c r="H421" s="1085"/>
      <c r="I421" s="1085"/>
      <c r="J421" s="1088"/>
      <c r="K421" s="1091"/>
      <c r="L421" s="492">
        <f>L422+L423</f>
        <v>83522175.439999998</v>
      </c>
    </row>
    <row r="422" spans="1:12" hidden="1" x14ac:dyDescent="0.25">
      <c r="A422" s="1186"/>
      <c r="B422" s="1071"/>
      <c r="C422" s="1085"/>
      <c r="D422" s="49" t="s">
        <v>283</v>
      </c>
      <c r="E422" s="368">
        <f>E426+E453+E463</f>
        <v>78308573.370000005</v>
      </c>
      <c r="F422" s="805">
        <f>F426+F453+F463</f>
        <v>42664928.300000004</v>
      </c>
      <c r="G422" s="1085"/>
      <c r="H422" s="1085"/>
      <c r="I422" s="1085"/>
      <c r="J422" s="1088"/>
      <c r="K422" s="1091"/>
      <c r="L422" s="492">
        <f>L426+L453+L463</f>
        <v>83522175.439999998</v>
      </c>
    </row>
    <row r="423" spans="1:12" ht="15.75" hidden="1" thickBot="1" x14ac:dyDescent="0.3">
      <c r="A423" s="1187"/>
      <c r="B423" s="1072"/>
      <c r="C423" s="1086"/>
      <c r="D423" s="142" t="s">
        <v>282</v>
      </c>
      <c r="E423" s="369">
        <f>E427+E454+E464</f>
        <v>0</v>
      </c>
      <c r="F423" s="821">
        <f>F427+F454+F464</f>
        <v>0</v>
      </c>
      <c r="G423" s="1086"/>
      <c r="H423" s="1086"/>
      <c r="I423" s="1086"/>
      <c r="J423" s="1089"/>
      <c r="K423" s="1092"/>
      <c r="L423" s="493">
        <f>L427+L454+L464</f>
        <v>0</v>
      </c>
    </row>
    <row r="424" spans="1:12" ht="15.75" hidden="1" thickBot="1" x14ac:dyDescent="0.3">
      <c r="A424" s="1093"/>
      <c r="B424" s="1094"/>
      <c r="C424" s="1094"/>
      <c r="D424" s="1094"/>
      <c r="E424" s="1094"/>
      <c r="F424" s="1094"/>
      <c r="G424" s="1094"/>
      <c r="H424" s="1094"/>
      <c r="I424" s="1094"/>
      <c r="J424" s="1094"/>
      <c r="K424" s="1094"/>
      <c r="L424" s="1095"/>
    </row>
    <row r="425" spans="1:12" ht="16.5" hidden="1" customHeight="1" x14ac:dyDescent="0.25">
      <c r="A425" s="976"/>
      <c r="B425" s="1064" t="s">
        <v>396</v>
      </c>
      <c r="C425" s="1002" t="s">
        <v>180</v>
      </c>
      <c r="D425" s="763" t="s">
        <v>394</v>
      </c>
      <c r="E425" s="334">
        <f>E426+E427</f>
        <v>65674329.289999992</v>
      </c>
      <c r="F425" s="334">
        <f>F426+F427</f>
        <v>36060933.480000004</v>
      </c>
      <c r="G425" s="1002"/>
      <c r="H425" s="1002"/>
      <c r="I425" s="1112"/>
      <c r="J425" s="1033"/>
      <c r="K425" s="1036"/>
      <c r="L425" s="480">
        <f>L426+L427</f>
        <v>70887931.359999999</v>
      </c>
    </row>
    <row r="426" spans="1:12" hidden="1" x14ac:dyDescent="0.25">
      <c r="A426" s="977"/>
      <c r="B426" s="1065"/>
      <c r="C426" s="1003"/>
      <c r="D426" s="764" t="s">
        <v>283</v>
      </c>
      <c r="E426" s="335">
        <f>E429</f>
        <v>65674329.289999992</v>
      </c>
      <c r="F426" s="335">
        <f>F429</f>
        <v>36060933.480000004</v>
      </c>
      <c r="G426" s="1003"/>
      <c r="H426" s="1003"/>
      <c r="I426" s="1113"/>
      <c r="J426" s="1034"/>
      <c r="K426" s="1037"/>
      <c r="L426" s="481">
        <f>L429+L447</f>
        <v>70887931.359999999</v>
      </c>
    </row>
    <row r="427" spans="1:12" ht="15.75" hidden="1" thickBot="1" x14ac:dyDescent="0.3">
      <c r="A427" s="977"/>
      <c r="B427" s="1066"/>
      <c r="C427" s="1004"/>
      <c r="D427" s="765" t="s">
        <v>282</v>
      </c>
      <c r="E427" s="336">
        <f>E430</f>
        <v>0</v>
      </c>
      <c r="F427" s="336">
        <f>F430</f>
        <v>0</v>
      </c>
      <c r="G427" s="1004"/>
      <c r="H427" s="1004"/>
      <c r="I427" s="1114"/>
      <c r="J427" s="1035"/>
      <c r="K427" s="1038"/>
      <c r="L427" s="482">
        <f>L430+L448</f>
        <v>0</v>
      </c>
    </row>
    <row r="428" spans="1:12" ht="16.5" hidden="1" customHeight="1" x14ac:dyDescent="0.25">
      <c r="A428" s="977"/>
      <c r="B428" s="1070" t="s">
        <v>397</v>
      </c>
      <c r="C428" s="1115"/>
      <c r="D428" s="346" t="s">
        <v>394</v>
      </c>
      <c r="E428" s="364">
        <f>E429+E430</f>
        <v>65674329.289999992</v>
      </c>
      <c r="F428" s="347">
        <f>F429+F430</f>
        <v>36060933.480000004</v>
      </c>
      <c r="G428" s="976"/>
      <c r="H428" s="976"/>
      <c r="I428" s="976"/>
      <c r="J428" s="1106"/>
      <c r="K428" s="1109"/>
      <c r="L428" s="353">
        <f>L429+L430</f>
        <v>70887931.359999999</v>
      </c>
    </row>
    <row r="429" spans="1:12" hidden="1" x14ac:dyDescent="0.25">
      <c r="A429" s="977"/>
      <c r="B429" s="1071"/>
      <c r="C429" s="1116"/>
      <c r="D429" s="49" t="s">
        <v>283</v>
      </c>
      <c r="E429" s="316">
        <f>E432+E435+E438+E441+E450+E444</f>
        <v>65674329.289999992</v>
      </c>
      <c r="F429" s="771">
        <f>F432+F435+F438+F441+F450+F444</f>
        <v>36060933.480000004</v>
      </c>
      <c r="G429" s="977"/>
      <c r="H429" s="977"/>
      <c r="I429" s="977"/>
      <c r="J429" s="1107"/>
      <c r="K429" s="1110"/>
      <c r="L429" s="145">
        <f>L432+L435+L438+L441+L450+L444</f>
        <v>70887931.359999999</v>
      </c>
    </row>
    <row r="430" spans="1:12" ht="15.75" hidden="1" thickBot="1" x14ac:dyDescent="0.3">
      <c r="A430" s="977"/>
      <c r="B430" s="1072"/>
      <c r="C430" s="1117"/>
      <c r="D430" s="142" t="s">
        <v>282</v>
      </c>
      <c r="E430" s="321">
        <f>E433+E436+E439+E442+E451+E445</f>
        <v>0</v>
      </c>
      <c r="F430" s="772">
        <f>F433+F436+F439+F442+F451+F445</f>
        <v>0</v>
      </c>
      <c r="G430" s="978"/>
      <c r="H430" s="978"/>
      <c r="I430" s="978"/>
      <c r="J430" s="1108"/>
      <c r="K430" s="1111"/>
      <c r="L430" s="352">
        <f>L433+L436+L439+L442+L445</f>
        <v>0</v>
      </c>
    </row>
    <row r="431" spans="1:12" ht="46.5" hidden="1" customHeight="1" x14ac:dyDescent="0.25">
      <c r="A431" s="977"/>
      <c r="B431" s="1100" t="s">
        <v>24</v>
      </c>
      <c r="C431" s="976" t="s">
        <v>180</v>
      </c>
      <c r="D431" s="346" t="s">
        <v>394</v>
      </c>
      <c r="E431" s="345">
        <f>E432+E433</f>
        <v>3159027.65</v>
      </c>
      <c r="F431" s="343">
        <f>F432+F433</f>
        <v>1579522</v>
      </c>
      <c r="G431" s="976"/>
      <c r="H431" s="1118" t="s">
        <v>395</v>
      </c>
      <c r="I431" s="976" t="s">
        <v>353</v>
      </c>
      <c r="J431" s="1097">
        <v>100</v>
      </c>
      <c r="K431" s="1103">
        <v>103.7</v>
      </c>
      <c r="L431" s="486">
        <f>L432+L433</f>
        <v>3159027.65</v>
      </c>
    </row>
    <row r="432" spans="1:12" ht="46.5" hidden="1" customHeight="1" x14ac:dyDescent="0.25">
      <c r="A432" s="977"/>
      <c r="B432" s="1101"/>
      <c r="C432" s="977"/>
      <c r="D432" s="49" t="s">
        <v>283</v>
      </c>
      <c r="E432" s="337">
        <v>3159027.65</v>
      </c>
      <c r="F432" s="331">
        <v>1579522</v>
      </c>
      <c r="G432" s="977"/>
      <c r="H432" s="1119"/>
      <c r="I432" s="977"/>
      <c r="J432" s="1098"/>
      <c r="K432" s="1104"/>
      <c r="L432" s="467">
        <v>3159027.65</v>
      </c>
    </row>
    <row r="433" spans="1:12" ht="46.5" hidden="1" customHeight="1" thickBot="1" x14ac:dyDescent="0.3">
      <c r="A433" s="977"/>
      <c r="B433" s="1102"/>
      <c r="C433" s="978"/>
      <c r="D433" s="142" t="s">
        <v>282</v>
      </c>
      <c r="E433" s="338">
        <f>0</f>
        <v>0</v>
      </c>
      <c r="F433" s="332">
        <v>0</v>
      </c>
      <c r="G433" s="978"/>
      <c r="H433" s="1120"/>
      <c r="I433" s="978"/>
      <c r="J433" s="1099"/>
      <c r="K433" s="1105"/>
      <c r="L433" s="469">
        <v>0</v>
      </c>
    </row>
    <row r="434" spans="1:12" ht="35.25" hidden="1" customHeight="1" x14ac:dyDescent="0.25">
      <c r="A434" s="977"/>
      <c r="B434" s="1049" t="s">
        <v>398</v>
      </c>
      <c r="C434" s="976" t="s">
        <v>180</v>
      </c>
      <c r="D434" s="346" t="s">
        <v>394</v>
      </c>
      <c r="E434" s="349">
        <f>E435+E436</f>
        <v>47805139.909999996</v>
      </c>
      <c r="F434" s="343">
        <f>F435+F436</f>
        <v>26924629.48</v>
      </c>
      <c r="G434" s="976"/>
      <c r="H434" s="1118" t="s">
        <v>399</v>
      </c>
      <c r="I434" s="976" t="s">
        <v>363</v>
      </c>
      <c r="J434" s="1097">
        <v>1424</v>
      </c>
      <c r="K434" s="1138">
        <v>1424</v>
      </c>
      <c r="L434" s="486">
        <f>L435+L436</f>
        <v>48863735.979999997</v>
      </c>
    </row>
    <row r="435" spans="1:12" ht="35.25" hidden="1" customHeight="1" x14ac:dyDescent="0.25">
      <c r="A435" s="977"/>
      <c r="B435" s="1050"/>
      <c r="C435" s="977"/>
      <c r="D435" s="49" t="s">
        <v>283</v>
      </c>
      <c r="E435" s="350">
        <v>47805139.909999996</v>
      </c>
      <c r="F435" s="331">
        <v>26924629.48</v>
      </c>
      <c r="G435" s="977"/>
      <c r="H435" s="1119"/>
      <c r="I435" s="977"/>
      <c r="J435" s="1098"/>
      <c r="K435" s="1139"/>
      <c r="L435" s="467">
        <v>48863735.979999997</v>
      </c>
    </row>
    <row r="436" spans="1:12" ht="35.25" hidden="1" customHeight="1" thickBot="1" x14ac:dyDescent="0.3">
      <c r="A436" s="977"/>
      <c r="B436" s="1051"/>
      <c r="C436" s="978"/>
      <c r="D436" s="142" t="s">
        <v>282</v>
      </c>
      <c r="E436" s="351">
        <f>0</f>
        <v>0</v>
      </c>
      <c r="F436" s="332">
        <v>0</v>
      </c>
      <c r="G436" s="978"/>
      <c r="H436" s="1120"/>
      <c r="I436" s="978"/>
      <c r="J436" s="1099"/>
      <c r="K436" s="1140"/>
      <c r="L436" s="469">
        <v>0</v>
      </c>
    </row>
    <row r="437" spans="1:12" ht="40.5" hidden="1" customHeight="1" x14ac:dyDescent="0.25">
      <c r="A437" s="977"/>
      <c r="B437" s="1049" t="s">
        <v>400</v>
      </c>
      <c r="C437" s="976" t="s">
        <v>180</v>
      </c>
      <c r="D437" s="346" t="s">
        <v>394</v>
      </c>
      <c r="E437" s="349">
        <f>E438+E439</f>
        <v>8986830</v>
      </c>
      <c r="F437" s="343">
        <f>F438+F439</f>
        <v>4570740</v>
      </c>
      <c r="G437" s="976"/>
      <c r="H437" s="1118" t="s">
        <v>401</v>
      </c>
      <c r="I437" s="976" t="s">
        <v>363</v>
      </c>
      <c r="J437" s="1097">
        <v>1424</v>
      </c>
      <c r="K437" s="1138">
        <v>1424</v>
      </c>
      <c r="L437" s="486">
        <f>L438+L439</f>
        <v>8986830</v>
      </c>
    </row>
    <row r="438" spans="1:12" ht="40.5" hidden="1" customHeight="1" x14ac:dyDescent="0.25">
      <c r="A438" s="977"/>
      <c r="B438" s="1050"/>
      <c r="C438" s="977"/>
      <c r="D438" s="49" t="s">
        <v>283</v>
      </c>
      <c r="E438" s="350">
        <v>8986830</v>
      </c>
      <c r="F438" s="331">
        <v>4570740</v>
      </c>
      <c r="G438" s="977"/>
      <c r="H438" s="1119"/>
      <c r="I438" s="977"/>
      <c r="J438" s="1098"/>
      <c r="K438" s="1139"/>
      <c r="L438" s="467">
        <v>8986830</v>
      </c>
    </row>
    <row r="439" spans="1:12" ht="40.5" hidden="1" customHeight="1" thickBot="1" x14ac:dyDescent="0.3">
      <c r="A439" s="977"/>
      <c r="B439" s="1051"/>
      <c r="C439" s="978"/>
      <c r="D439" s="142" t="s">
        <v>282</v>
      </c>
      <c r="E439" s="351">
        <f>0</f>
        <v>0</v>
      </c>
      <c r="F439" s="332">
        <v>0</v>
      </c>
      <c r="G439" s="978"/>
      <c r="H439" s="1120"/>
      <c r="I439" s="978"/>
      <c r="J439" s="1099"/>
      <c r="K439" s="1140"/>
      <c r="L439" s="469">
        <v>0</v>
      </c>
    </row>
    <row r="440" spans="1:12" ht="30.75" hidden="1" customHeight="1" x14ac:dyDescent="0.25">
      <c r="A440" s="977"/>
      <c r="B440" s="1100" t="s">
        <v>402</v>
      </c>
      <c r="C440" s="976" t="s">
        <v>180</v>
      </c>
      <c r="D440" s="346" t="s">
        <v>394</v>
      </c>
      <c r="E440" s="349">
        <f>E441+E442</f>
        <v>5723331.7300000004</v>
      </c>
      <c r="F440" s="343">
        <f>F441+F442</f>
        <v>2986042</v>
      </c>
      <c r="G440" s="976"/>
      <c r="H440" s="1118" t="s">
        <v>403</v>
      </c>
      <c r="I440" s="976" t="s">
        <v>363</v>
      </c>
      <c r="J440" s="1097">
        <v>200</v>
      </c>
      <c r="K440" s="1138">
        <v>250</v>
      </c>
      <c r="L440" s="486">
        <f>L441+L442</f>
        <v>6223331.7300000004</v>
      </c>
    </row>
    <row r="441" spans="1:12" ht="30.75" hidden="1" customHeight="1" x14ac:dyDescent="0.25">
      <c r="A441" s="977"/>
      <c r="B441" s="1101"/>
      <c r="C441" s="977"/>
      <c r="D441" s="49" t="s">
        <v>283</v>
      </c>
      <c r="E441" s="350">
        <v>5723331.7300000004</v>
      </c>
      <c r="F441" s="331">
        <v>2986042</v>
      </c>
      <c r="G441" s="977"/>
      <c r="H441" s="1119"/>
      <c r="I441" s="977"/>
      <c r="J441" s="1098"/>
      <c r="K441" s="1139"/>
      <c r="L441" s="145">
        <v>6223331.7300000004</v>
      </c>
    </row>
    <row r="442" spans="1:12" ht="30.75" hidden="1" customHeight="1" thickBot="1" x14ac:dyDescent="0.3">
      <c r="A442" s="977"/>
      <c r="B442" s="1102"/>
      <c r="C442" s="978"/>
      <c r="D442" s="142" t="s">
        <v>282</v>
      </c>
      <c r="E442" s="351">
        <f>0</f>
        <v>0</v>
      </c>
      <c r="F442" s="332">
        <v>0</v>
      </c>
      <c r="G442" s="978"/>
      <c r="H442" s="1119"/>
      <c r="I442" s="977"/>
      <c r="J442" s="1098"/>
      <c r="K442" s="1139"/>
      <c r="L442" s="770">
        <v>0</v>
      </c>
    </row>
    <row r="443" spans="1:12" ht="30.75" hidden="1" customHeight="1" x14ac:dyDescent="0.25">
      <c r="A443" s="977"/>
      <c r="B443" s="1049" t="s">
        <v>667</v>
      </c>
      <c r="C443" s="976" t="s">
        <v>180</v>
      </c>
      <c r="D443" s="346" t="s">
        <v>394</v>
      </c>
      <c r="E443" s="349">
        <f>E444+E445</f>
        <v>0</v>
      </c>
      <c r="F443" s="343">
        <f>F444+F445</f>
        <v>0</v>
      </c>
      <c r="G443" s="1055"/>
      <c r="H443" s="1118" t="s">
        <v>668</v>
      </c>
      <c r="I443" s="976" t="s">
        <v>366</v>
      </c>
      <c r="J443" s="1097">
        <v>120</v>
      </c>
      <c r="K443" s="1138">
        <v>0</v>
      </c>
      <c r="L443" s="353">
        <f>L444+L445</f>
        <v>3655006</v>
      </c>
    </row>
    <row r="444" spans="1:12" ht="30.75" hidden="1" customHeight="1" x14ac:dyDescent="0.25">
      <c r="A444" s="977"/>
      <c r="B444" s="1050"/>
      <c r="C444" s="977"/>
      <c r="D444" s="49" t="s">
        <v>283</v>
      </c>
      <c r="E444" s="350">
        <v>0</v>
      </c>
      <c r="F444" s="331">
        <v>0</v>
      </c>
      <c r="G444" s="1056"/>
      <c r="H444" s="1119"/>
      <c r="I444" s="977"/>
      <c r="J444" s="1098"/>
      <c r="K444" s="1139"/>
      <c r="L444" s="145">
        <v>3655006</v>
      </c>
    </row>
    <row r="445" spans="1:12" ht="30.75" hidden="1" customHeight="1" thickBot="1" x14ac:dyDescent="0.3">
      <c r="A445" s="977"/>
      <c r="B445" s="1051"/>
      <c r="C445" s="978"/>
      <c r="D445" s="142" t="s">
        <v>282</v>
      </c>
      <c r="E445" s="351">
        <f>0</f>
        <v>0</v>
      </c>
      <c r="F445" s="332">
        <v>0</v>
      </c>
      <c r="G445" s="1057"/>
      <c r="H445" s="1120"/>
      <c r="I445" s="978"/>
      <c r="J445" s="1099"/>
      <c r="K445" s="1140"/>
      <c r="L445" s="352">
        <v>0</v>
      </c>
    </row>
    <row r="446" spans="1:12" ht="16.5" hidden="1" customHeight="1" x14ac:dyDescent="0.25">
      <c r="A446" s="977"/>
      <c r="B446" s="1070" t="s">
        <v>425</v>
      </c>
      <c r="C446" s="976"/>
      <c r="D446" s="346" t="s">
        <v>394</v>
      </c>
      <c r="E446" s="364">
        <f>E447+E448</f>
        <v>0</v>
      </c>
      <c r="F446" s="347">
        <f>F447+F448</f>
        <v>0</v>
      </c>
      <c r="G446" s="976"/>
      <c r="H446" s="977"/>
      <c r="I446" s="977"/>
      <c r="J446" s="1107"/>
      <c r="K446" s="1110"/>
      <c r="L446" s="785">
        <f>L447+L448</f>
        <v>0</v>
      </c>
    </row>
    <row r="447" spans="1:12" ht="16.5" hidden="1" customHeight="1" x14ac:dyDescent="0.25">
      <c r="A447" s="977"/>
      <c r="B447" s="1071"/>
      <c r="C447" s="977"/>
      <c r="D447" s="49" t="s">
        <v>283</v>
      </c>
      <c r="E447" s="316">
        <f>E450</f>
        <v>0</v>
      </c>
      <c r="F447" s="771">
        <f>F450</f>
        <v>0</v>
      </c>
      <c r="G447" s="977"/>
      <c r="H447" s="977"/>
      <c r="I447" s="977"/>
      <c r="J447" s="1107"/>
      <c r="K447" s="1110"/>
      <c r="L447" s="145">
        <f>L450</f>
        <v>0</v>
      </c>
    </row>
    <row r="448" spans="1:12" ht="16.5" hidden="1" customHeight="1" thickBot="1" x14ac:dyDescent="0.3">
      <c r="A448" s="977"/>
      <c r="B448" s="1072"/>
      <c r="C448" s="978"/>
      <c r="D448" s="142" t="s">
        <v>282</v>
      </c>
      <c r="E448" s="321">
        <f>E451</f>
        <v>0</v>
      </c>
      <c r="F448" s="772">
        <f>F451</f>
        <v>0</v>
      </c>
      <c r="G448" s="978"/>
      <c r="H448" s="978"/>
      <c r="I448" s="978"/>
      <c r="J448" s="1108"/>
      <c r="K448" s="1111"/>
      <c r="L448" s="352">
        <f>L451</f>
        <v>0</v>
      </c>
    </row>
    <row r="449" spans="1:12" ht="104.25" hidden="1" customHeight="1" x14ac:dyDescent="0.25">
      <c r="A449" s="977"/>
      <c r="B449" s="1100" t="s">
        <v>220</v>
      </c>
      <c r="C449" s="976" t="s">
        <v>180</v>
      </c>
      <c r="D449" s="346" t="s">
        <v>394</v>
      </c>
      <c r="E449" s="349">
        <f>E450+E451</f>
        <v>0</v>
      </c>
      <c r="F449" s="343">
        <f>F450+F451</f>
        <v>0</v>
      </c>
      <c r="G449" s="976"/>
      <c r="H449" s="1118" t="s">
        <v>426</v>
      </c>
      <c r="I449" s="976" t="s">
        <v>363</v>
      </c>
      <c r="J449" s="1097">
        <v>0</v>
      </c>
      <c r="K449" s="1138">
        <v>0</v>
      </c>
      <c r="L449" s="353">
        <f>L450+L451</f>
        <v>0</v>
      </c>
    </row>
    <row r="450" spans="1:12" ht="104.25" hidden="1" customHeight="1" x14ac:dyDescent="0.25">
      <c r="A450" s="977"/>
      <c r="B450" s="1101"/>
      <c r="C450" s="977"/>
      <c r="D450" s="49" t="s">
        <v>283</v>
      </c>
      <c r="E450" s="350">
        <f>0</f>
        <v>0</v>
      </c>
      <c r="F450" s="331">
        <v>0</v>
      </c>
      <c r="G450" s="977"/>
      <c r="H450" s="1119"/>
      <c r="I450" s="977"/>
      <c r="J450" s="1098"/>
      <c r="K450" s="1139"/>
      <c r="L450" s="145">
        <v>0</v>
      </c>
    </row>
    <row r="451" spans="1:12" ht="104.25" hidden="1" customHeight="1" thickBot="1" x14ac:dyDescent="0.3">
      <c r="A451" s="978"/>
      <c r="B451" s="1102"/>
      <c r="C451" s="978"/>
      <c r="D451" s="142" t="s">
        <v>282</v>
      </c>
      <c r="E451" s="351">
        <v>0</v>
      </c>
      <c r="F451" s="332">
        <v>0</v>
      </c>
      <c r="G451" s="978"/>
      <c r="H451" s="1120"/>
      <c r="I451" s="978"/>
      <c r="J451" s="1099"/>
      <c r="K451" s="1140"/>
      <c r="L451" s="352">
        <v>0</v>
      </c>
    </row>
    <row r="452" spans="1:12" ht="19.5" hidden="1" customHeight="1" x14ac:dyDescent="0.25">
      <c r="A452" s="1055"/>
      <c r="B452" s="1219" t="s">
        <v>404</v>
      </c>
      <c r="C452" s="1210" t="s">
        <v>180</v>
      </c>
      <c r="D452" s="763" t="s">
        <v>394</v>
      </c>
      <c r="E452" s="365">
        <f>E453+E454</f>
        <v>8390717.4000000004</v>
      </c>
      <c r="F452" s="365">
        <f>F453+F454</f>
        <v>4383652</v>
      </c>
      <c r="G452" s="1210"/>
      <c r="H452" s="1210"/>
      <c r="I452" s="1210"/>
      <c r="J452" s="1213"/>
      <c r="K452" s="1216"/>
      <c r="L452" s="480">
        <f>L453+L454</f>
        <v>8390717.4000000004</v>
      </c>
    </row>
    <row r="453" spans="1:12" ht="19.5" hidden="1" customHeight="1" x14ac:dyDescent="0.25">
      <c r="A453" s="1056"/>
      <c r="B453" s="1220"/>
      <c r="C453" s="1211"/>
      <c r="D453" s="787" t="s">
        <v>283</v>
      </c>
      <c r="E453" s="370">
        <f>E456</f>
        <v>8390717.4000000004</v>
      </c>
      <c r="F453" s="370">
        <f>F456</f>
        <v>4383652</v>
      </c>
      <c r="G453" s="1211"/>
      <c r="H453" s="1211"/>
      <c r="I453" s="1211"/>
      <c r="J453" s="1214"/>
      <c r="K453" s="1217"/>
      <c r="L453" s="494">
        <f>L456</f>
        <v>8390717.4000000004</v>
      </c>
    </row>
    <row r="454" spans="1:12" ht="19.5" hidden="1" customHeight="1" thickBot="1" x14ac:dyDescent="0.3">
      <c r="A454" s="1056"/>
      <c r="B454" s="1221"/>
      <c r="C454" s="1212"/>
      <c r="D454" s="788" t="s">
        <v>282</v>
      </c>
      <c r="E454" s="371">
        <f>E457</f>
        <v>0</v>
      </c>
      <c r="F454" s="371">
        <f>F457</f>
        <v>0</v>
      </c>
      <c r="G454" s="1212"/>
      <c r="H454" s="1212"/>
      <c r="I454" s="1212"/>
      <c r="J454" s="1215"/>
      <c r="K454" s="1218"/>
      <c r="L454" s="482">
        <f>L457</f>
        <v>0</v>
      </c>
    </row>
    <row r="455" spans="1:12" ht="19.5" hidden="1" customHeight="1" x14ac:dyDescent="0.25">
      <c r="A455" s="1056"/>
      <c r="B455" s="1070" t="s">
        <v>148</v>
      </c>
      <c r="C455" s="976"/>
      <c r="D455" s="346" t="s">
        <v>394</v>
      </c>
      <c r="E455" s="364">
        <f>E456+E457</f>
        <v>8390717.4000000004</v>
      </c>
      <c r="F455" s="364">
        <f>F456+F457</f>
        <v>4383652</v>
      </c>
      <c r="G455" s="976"/>
      <c r="H455" s="976"/>
      <c r="I455" s="976"/>
      <c r="J455" s="1097"/>
      <c r="K455" s="1103"/>
      <c r="L455" s="486">
        <f>L456+L457</f>
        <v>8390717.4000000004</v>
      </c>
    </row>
    <row r="456" spans="1:12" ht="19.5" hidden="1" customHeight="1" x14ac:dyDescent="0.25">
      <c r="A456" s="1056"/>
      <c r="B456" s="1071"/>
      <c r="C456" s="977"/>
      <c r="D456" s="49" t="s">
        <v>283</v>
      </c>
      <c r="E456" s="316">
        <f>E459</f>
        <v>8390717.4000000004</v>
      </c>
      <c r="F456" s="316">
        <f>F459</f>
        <v>4383652</v>
      </c>
      <c r="G456" s="977"/>
      <c r="H456" s="977"/>
      <c r="I456" s="977"/>
      <c r="J456" s="1098"/>
      <c r="K456" s="1104"/>
      <c r="L456" s="467">
        <f>L459</f>
        <v>8390717.4000000004</v>
      </c>
    </row>
    <row r="457" spans="1:12" ht="19.5" hidden="1" customHeight="1" thickBot="1" x14ac:dyDescent="0.3">
      <c r="A457" s="1056"/>
      <c r="B457" s="1072"/>
      <c r="C457" s="978"/>
      <c r="D457" s="57" t="s">
        <v>282</v>
      </c>
      <c r="E457" s="747">
        <f>E460</f>
        <v>0</v>
      </c>
      <c r="F457" s="747">
        <f>F460</f>
        <v>0</v>
      </c>
      <c r="G457" s="978"/>
      <c r="H457" s="978"/>
      <c r="I457" s="978"/>
      <c r="J457" s="1099"/>
      <c r="K457" s="1105"/>
      <c r="L457" s="469">
        <f>L460</f>
        <v>0</v>
      </c>
    </row>
    <row r="458" spans="1:12" ht="123" hidden="1" customHeight="1" x14ac:dyDescent="0.25">
      <c r="A458" s="1056"/>
      <c r="B458" s="1049" t="s">
        <v>405</v>
      </c>
      <c r="C458" s="976" t="s">
        <v>180</v>
      </c>
      <c r="D458" s="346" t="s">
        <v>394</v>
      </c>
      <c r="E458" s="349">
        <f>E459+E460</f>
        <v>8390717.4000000004</v>
      </c>
      <c r="F458" s="343">
        <f>F459+F460</f>
        <v>4383652</v>
      </c>
      <c r="G458" s="976"/>
      <c r="H458" s="75" t="s">
        <v>406</v>
      </c>
      <c r="I458" s="841" t="s">
        <v>363</v>
      </c>
      <c r="J458" s="844">
        <v>685</v>
      </c>
      <c r="K458" s="847">
        <f>323+95</f>
        <v>418</v>
      </c>
      <c r="L458" s="353">
        <f>L459+L460</f>
        <v>8390717.4000000004</v>
      </c>
    </row>
    <row r="459" spans="1:12" ht="137.25" hidden="1" customHeight="1" x14ac:dyDescent="0.25">
      <c r="A459" s="1056"/>
      <c r="B459" s="1050"/>
      <c r="C459" s="977"/>
      <c r="D459" s="49" t="s">
        <v>283</v>
      </c>
      <c r="E459" s="350">
        <v>8390717.4000000004</v>
      </c>
      <c r="F459" s="331">
        <v>4383652</v>
      </c>
      <c r="G459" s="977"/>
      <c r="H459" s="57" t="s">
        <v>407</v>
      </c>
      <c r="I459" s="834" t="s">
        <v>363</v>
      </c>
      <c r="J459" s="810">
        <v>10</v>
      </c>
      <c r="K459" s="809">
        <v>90</v>
      </c>
      <c r="L459" s="489">
        <v>8390717.4000000004</v>
      </c>
    </row>
    <row r="460" spans="1:12" ht="84" hidden="1" customHeight="1" thickBot="1" x14ac:dyDescent="0.3">
      <c r="A460" s="1056"/>
      <c r="B460" s="1050"/>
      <c r="C460" s="977"/>
      <c r="D460" s="142" t="s">
        <v>282</v>
      </c>
      <c r="E460" s="351">
        <f>0</f>
        <v>0</v>
      </c>
      <c r="F460" s="332">
        <v>0</v>
      </c>
      <c r="G460" s="977"/>
      <c r="H460" s="811" t="s">
        <v>575</v>
      </c>
      <c r="I460" s="834" t="s">
        <v>577</v>
      </c>
      <c r="J460" s="810">
        <v>111240</v>
      </c>
      <c r="K460" s="809">
        <v>66096</v>
      </c>
      <c r="L460" s="489">
        <v>0</v>
      </c>
    </row>
    <row r="461" spans="1:12" ht="66" hidden="1" customHeight="1" thickBot="1" x14ac:dyDescent="0.3">
      <c r="A461" s="838"/>
      <c r="B461" s="1051"/>
      <c r="C461" s="977"/>
      <c r="D461" s="825"/>
      <c r="E461" s="748"/>
      <c r="F461" s="813"/>
      <c r="G461" s="977"/>
      <c r="H461" s="136" t="s">
        <v>576</v>
      </c>
      <c r="I461" s="843" t="s">
        <v>577</v>
      </c>
      <c r="J461" s="846">
        <v>5060</v>
      </c>
      <c r="K461" s="849">
        <v>25920</v>
      </c>
      <c r="L461" s="352"/>
    </row>
    <row r="462" spans="1:12" ht="18" hidden="1" customHeight="1" x14ac:dyDescent="0.25">
      <c r="A462" s="970"/>
      <c r="B462" s="1307" t="s">
        <v>409</v>
      </c>
      <c r="C462" s="1002" t="s">
        <v>180</v>
      </c>
      <c r="D462" s="763" t="s">
        <v>394</v>
      </c>
      <c r="E462" s="365">
        <f>E463+E464</f>
        <v>4243526.68</v>
      </c>
      <c r="F462" s="365">
        <f>F463+F464</f>
        <v>2220342.8200000003</v>
      </c>
      <c r="G462" s="1002"/>
      <c r="H462" s="1002"/>
      <c r="I462" s="1002"/>
      <c r="J462" s="1033"/>
      <c r="K462" s="1036"/>
      <c r="L462" s="484">
        <f>L463+L464</f>
        <v>4243526.68</v>
      </c>
    </row>
    <row r="463" spans="1:12" ht="18" hidden="1" customHeight="1" x14ac:dyDescent="0.25">
      <c r="A463" s="971"/>
      <c r="B463" s="1308"/>
      <c r="C463" s="1003"/>
      <c r="D463" s="764" t="s">
        <v>283</v>
      </c>
      <c r="E463" s="366">
        <f>E466</f>
        <v>4243526.68</v>
      </c>
      <c r="F463" s="366">
        <f>F466</f>
        <v>2220342.8200000003</v>
      </c>
      <c r="G463" s="1003"/>
      <c r="H463" s="1003"/>
      <c r="I463" s="1003"/>
      <c r="J463" s="1034"/>
      <c r="K463" s="1037"/>
      <c r="L463" s="485">
        <f>L466</f>
        <v>4243526.68</v>
      </c>
    </row>
    <row r="464" spans="1:12" ht="18" hidden="1" customHeight="1" thickBot="1" x14ac:dyDescent="0.3">
      <c r="A464" s="971"/>
      <c r="B464" s="1309"/>
      <c r="C464" s="1004"/>
      <c r="D464" s="765" t="s">
        <v>282</v>
      </c>
      <c r="E464" s="367">
        <f>E467</f>
        <v>0</v>
      </c>
      <c r="F464" s="367">
        <f>F467</f>
        <v>0</v>
      </c>
      <c r="G464" s="1004"/>
      <c r="H464" s="1004"/>
      <c r="I464" s="1004"/>
      <c r="J464" s="1035"/>
      <c r="K464" s="1038"/>
      <c r="L464" s="488">
        <f>L467</f>
        <v>0</v>
      </c>
    </row>
    <row r="465" spans="1:12" ht="18.75" hidden="1" customHeight="1" x14ac:dyDescent="0.25">
      <c r="A465" s="971"/>
      <c r="B465" s="1310" t="s">
        <v>408</v>
      </c>
      <c r="C465" s="970" t="s">
        <v>180</v>
      </c>
      <c r="D465" s="346" t="s">
        <v>394</v>
      </c>
      <c r="E465" s="345">
        <f>E466+E467</f>
        <v>4243526.68</v>
      </c>
      <c r="F465" s="345">
        <f>F466+F467</f>
        <v>2220342.8200000003</v>
      </c>
      <c r="G465" s="976"/>
      <c r="H465" s="976"/>
      <c r="I465" s="976"/>
      <c r="J465" s="1097"/>
      <c r="K465" s="1103"/>
      <c r="L465" s="486">
        <f>L466+L467</f>
        <v>4243526.68</v>
      </c>
    </row>
    <row r="466" spans="1:12" ht="18.75" hidden="1" customHeight="1" x14ac:dyDescent="0.25">
      <c r="A466" s="971"/>
      <c r="B466" s="1311"/>
      <c r="C466" s="971"/>
      <c r="D466" s="49" t="s">
        <v>283</v>
      </c>
      <c r="E466" s="337">
        <f>E469+E472+E475</f>
        <v>4243526.68</v>
      </c>
      <c r="F466" s="337">
        <f>F469+F472+F475</f>
        <v>2220342.8200000003</v>
      </c>
      <c r="G466" s="977"/>
      <c r="H466" s="977"/>
      <c r="I466" s="977"/>
      <c r="J466" s="1098"/>
      <c r="K466" s="1104"/>
      <c r="L466" s="467">
        <f>L469+L472+L475</f>
        <v>4243526.68</v>
      </c>
    </row>
    <row r="467" spans="1:12" ht="18.75" hidden="1" customHeight="1" thickBot="1" x14ac:dyDescent="0.3">
      <c r="A467" s="971"/>
      <c r="B467" s="1312"/>
      <c r="C467" s="972"/>
      <c r="D467" s="142" t="s">
        <v>282</v>
      </c>
      <c r="E467" s="338">
        <f>E470+E473+E476</f>
        <v>0</v>
      </c>
      <c r="F467" s="338">
        <f>F470+F473+F476</f>
        <v>0</v>
      </c>
      <c r="G467" s="978"/>
      <c r="H467" s="978"/>
      <c r="I467" s="978"/>
      <c r="J467" s="1099"/>
      <c r="K467" s="1105"/>
      <c r="L467" s="469">
        <f>L470+L473+L476</f>
        <v>0</v>
      </c>
    </row>
    <row r="468" spans="1:12" ht="56.25" hidden="1" customHeight="1" x14ac:dyDescent="0.25">
      <c r="A468" s="971"/>
      <c r="B468" s="1207" t="s">
        <v>29</v>
      </c>
      <c r="C468" s="966" t="s">
        <v>180</v>
      </c>
      <c r="D468" s="346" t="s">
        <v>394</v>
      </c>
      <c r="E468" s="349">
        <f>E469+E470</f>
        <v>3500</v>
      </c>
      <c r="F468" s="343">
        <f>F469+F470</f>
        <v>3500</v>
      </c>
      <c r="G468" s="841"/>
      <c r="H468" s="1118" t="s">
        <v>410</v>
      </c>
      <c r="I468" s="976" t="s">
        <v>363</v>
      </c>
      <c r="J468" s="1097">
        <v>7</v>
      </c>
      <c r="K468" s="1138">
        <v>7</v>
      </c>
      <c r="L468" s="486">
        <f>L469+L470</f>
        <v>3500</v>
      </c>
    </row>
    <row r="469" spans="1:12" ht="56.25" hidden="1" customHeight="1" x14ac:dyDescent="0.25">
      <c r="A469" s="971"/>
      <c r="B469" s="1208"/>
      <c r="C469" s="1048"/>
      <c r="D469" s="49" t="s">
        <v>283</v>
      </c>
      <c r="E469" s="900">
        <v>3500</v>
      </c>
      <c r="F469" s="470">
        <v>3500</v>
      </c>
      <c r="G469" s="917"/>
      <c r="H469" s="1119"/>
      <c r="I469" s="977"/>
      <c r="J469" s="1098"/>
      <c r="K469" s="1139"/>
      <c r="L469" s="468">
        <v>3500</v>
      </c>
    </row>
    <row r="470" spans="1:12" ht="56.25" hidden="1" customHeight="1" thickBot="1" x14ac:dyDescent="0.3">
      <c r="A470" s="971"/>
      <c r="B470" s="1209"/>
      <c r="C470" s="967"/>
      <c r="D470" s="142" t="s">
        <v>282</v>
      </c>
      <c r="E470" s="901">
        <f>0</f>
        <v>0</v>
      </c>
      <c r="F470" s="333">
        <v>0</v>
      </c>
      <c r="G470" s="825"/>
      <c r="H470" s="1120"/>
      <c r="I470" s="978"/>
      <c r="J470" s="1099"/>
      <c r="K470" s="1140"/>
      <c r="L470" s="487">
        <v>0</v>
      </c>
    </row>
    <row r="471" spans="1:12" ht="58.5" hidden="1" customHeight="1" x14ac:dyDescent="0.25">
      <c r="A471" s="971"/>
      <c r="B471" s="1073" t="s">
        <v>30</v>
      </c>
      <c r="C471" s="976"/>
      <c r="D471" s="346" t="s">
        <v>394</v>
      </c>
      <c r="E471" s="349">
        <f>E472+E473</f>
        <v>301742</v>
      </c>
      <c r="F471" s="343">
        <f>F472+F473</f>
        <v>301742</v>
      </c>
      <c r="G471" s="841"/>
      <c r="H471" s="1118" t="s">
        <v>411</v>
      </c>
      <c r="I471" s="976" t="s">
        <v>363</v>
      </c>
      <c r="J471" s="1097">
        <v>7</v>
      </c>
      <c r="K471" s="1305">
        <v>7</v>
      </c>
      <c r="L471" s="486">
        <f>L472+L473</f>
        <v>301742</v>
      </c>
    </row>
    <row r="472" spans="1:12" ht="58.5" hidden="1" customHeight="1" x14ac:dyDescent="0.25">
      <c r="A472" s="971"/>
      <c r="B472" s="1074"/>
      <c r="C472" s="977"/>
      <c r="D472" s="49" t="s">
        <v>283</v>
      </c>
      <c r="E472" s="900">
        <v>301742</v>
      </c>
      <c r="F472" s="470">
        <v>301742</v>
      </c>
      <c r="G472" s="917"/>
      <c r="H472" s="1119"/>
      <c r="I472" s="977"/>
      <c r="J472" s="1098"/>
      <c r="K472" s="1306"/>
      <c r="L472" s="468">
        <v>301742</v>
      </c>
    </row>
    <row r="473" spans="1:12" ht="58.5" hidden="1" customHeight="1" thickBot="1" x14ac:dyDescent="0.3">
      <c r="A473" s="971"/>
      <c r="B473" s="1075"/>
      <c r="C473" s="978"/>
      <c r="D473" s="142" t="s">
        <v>282</v>
      </c>
      <c r="E473" s="901">
        <f>0</f>
        <v>0</v>
      </c>
      <c r="F473" s="333">
        <v>0</v>
      </c>
      <c r="G473" s="825"/>
      <c r="H473" s="1120"/>
      <c r="I473" s="978"/>
      <c r="J473" s="1099"/>
      <c r="K473" s="1282"/>
      <c r="L473" s="487">
        <v>0</v>
      </c>
    </row>
    <row r="474" spans="1:12" ht="41.25" hidden="1" customHeight="1" x14ac:dyDescent="0.25">
      <c r="A474" s="971"/>
      <c r="B474" s="1204" t="s">
        <v>412</v>
      </c>
      <c r="C474" s="944"/>
      <c r="D474" s="346" t="s">
        <v>394</v>
      </c>
      <c r="E474" s="349">
        <f>E475+E476</f>
        <v>3938284.68</v>
      </c>
      <c r="F474" s="343">
        <f>F475+F476</f>
        <v>1915100.82</v>
      </c>
      <c r="G474" s="976"/>
      <c r="H474" s="1118" t="s">
        <v>413</v>
      </c>
      <c r="I474" s="976" t="s">
        <v>363</v>
      </c>
      <c r="J474" s="1097">
        <v>58</v>
      </c>
      <c r="K474" s="1138">
        <v>60</v>
      </c>
      <c r="L474" s="486">
        <f>L475+L476</f>
        <v>3938284.68</v>
      </c>
    </row>
    <row r="475" spans="1:12" ht="41.25" hidden="1" customHeight="1" x14ac:dyDescent="0.25">
      <c r="A475" s="971"/>
      <c r="B475" s="1205"/>
      <c r="C475" s="945"/>
      <c r="D475" s="49" t="s">
        <v>283</v>
      </c>
      <c r="E475" s="900">
        <v>3938284.68</v>
      </c>
      <c r="F475" s="470">
        <v>1915100.82</v>
      </c>
      <c r="G475" s="977"/>
      <c r="H475" s="1119"/>
      <c r="I475" s="977"/>
      <c r="J475" s="1098"/>
      <c r="K475" s="1139"/>
      <c r="L475" s="468">
        <v>3938284.68</v>
      </c>
    </row>
    <row r="476" spans="1:12" ht="41.25" hidden="1" customHeight="1" thickBot="1" x14ac:dyDescent="0.3">
      <c r="A476" s="972"/>
      <c r="B476" s="1206"/>
      <c r="C476" s="946"/>
      <c r="D476" s="142" t="s">
        <v>282</v>
      </c>
      <c r="E476" s="901">
        <f>0</f>
        <v>0</v>
      </c>
      <c r="F476" s="333">
        <v>0</v>
      </c>
      <c r="G476" s="978"/>
      <c r="H476" s="1120"/>
      <c r="I476" s="978"/>
      <c r="J476" s="1099"/>
      <c r="K476" s="1140"/>
      <c r="L476" s="487">
        <v>0</v>
      </c>
    </row>
    <row r="477" spans="1:12" ht="17.25" hidden="1" customHeight="1" x14ac:dyDescent="0.25">
      <c r="A477" s="751"/>
      <c r="B477" s="828"/>
      <c r="C477" s="490"/>
      <c r="D477" s="490"/>
      <c r="E477" s="323"/>
      <c r="F477" s="323"/>
      <c r="G477" s="812"/>
      <c r="H477" s="850"/>
      <c r="I477" s="812"/>
      <c r="J477" s="743"/>
      <c r="K477" s="812"/>
      <c r="L477" s="490"/>
    </row>
    <row r="478" spans="1:12" ht="16.5" hidden="1" customHeight="1" x14ac:dyDescent="0.25">
      <c r="B478" s="499"/>
      <c r="L478" s="472" t="s">
        <v>333</v>
      </c>
    </row>
    <row r="479" spans="1:12" ht="35.25" hidden="1" customHeight="1" x14ac:dyDescent="0.25">
      <c r="A479" s="1124" t="s">
        <v>427</v>
      </c>
      <c r="B479" s="1124"/>
      <c r="C479" s="1124"/>
      <c r="D479" s="1124"/>
      <c r="E479" s="1124"/>
      <c r="F479" s="1124"/>
      <c r="G479" s="1124"/>
      <c r="H479" s="1124"/>
      <c r="I479" s="1124"/>
      <c r="J479" s="1124"/>
      <c r="K479" s="1124"/>
      <c r="L479" s="1124"/>
    </row>
    <row r="480" spans="1:12" ht="16.5" hidden="1" customHeight="1" x14ac:dyDescent="0.25">
      <c r="A480" s="750"/>
      <c r="B480" s="851" t="s">
        <v>334</v>
      </c>
      <c r="C480" s="1125" t="s">
        <v>414</v>
      </c>
      <c r="D480" s="1125"/>
      <c r="E480" s="1125"/>
      <c r="F480" s="319"/>
      <c r="G480" s="832"/>
    </row>
    <row r="481" spans="1:12" ht="16.5" hidden="1" customHeight="1" x14ac:dyDescent="0.25">
      <c r="A481" s="750"/>
      <c r="B481" s="851" t="s">
        <v>175</v>
      </c>
      <c r="C481" s="1096" t="s">
        <v>180</v>
      </c>
      <c r="D481" s="1096"/>
      <c r="E481" s="1096"/>
      <c r="F481" s="319"/>
      <c r="G481" s="832"/>
    </row>
    <row r="482" spans="1:12" ht="15.75" hidden="1" thickBot="1" x14ac:dyDescent="0.3">
      <c r="A482" s="750"/>
      <c r="B482" s="851"/>
      <c r="C482" s="833"/>
      <c r="D482" s="833"/>
      <c r="E482" s="324"/>
      <c r="F482" s="319"/>
      <c r="G482" s="832"/>
    </row>
    <row r="483" spans="1:12" ht="77.25" hidden="1" thickBot="1" x14ac:dyDescent="0.3">
      <c r="A483" s="752" t="s">
        <v>245</v>
      </c>
      <c r="B483" s="753" t="s">
        <v>337</v>
      </c>
      <c r="C483" s="754" t="s">
        <v>175</v>
      </c>
      <c r="D483" s="754" t="s">
        <v>338</v>
      </c>
      <c r="E483" s="320" t="s">
        <v>339</v>
      </c>
      <c r="F483" s="330" t="s">
        <v>340</v>
      </c>
      <c r="G483" s="552" t="s">
        <v>341</v>
      </c>
      <c r="H483" s="181" t="s">
        <v>342</v>
      </c>
      <c r="I483" s="181" t="s">
        <v>343</v>
      </c>
      <c r="J483" s="744" t="s">
        <v>344</v>
      </c>
      <c r="K483" s="755" t="s">
        <v>345</v>
      </c>
      <c r="L483" s="474" t="s">
        <v>346</v>
      </c>
    </row>
    <row r="484" spans="1:12" ht="15.75" hidden="1" thickBot="1" x14ac:dyDescent="0.3">
      <c r="A484" s="756">
        <v>1</v>
      </c>
      <c r="B484" s="753">
        <v>2</v>
      </c>
      <c r="C484" s="757">
        <v>3</v>
      </c>
      <c r="D484" s="754">
        <v>4</v>
      </c>
      <c r="E484" s="341">
        <v>5</v>
      </c>
      <c r="F484" s="342">
        <v>6</v>
      </c>
      <c r="G484" s="552">
        <v>7</v>
      </c>
      <c r="H484" s="552">
        <v>8</v>
      </c>
      <c r="I484" s="552">
        <v>9</v>
      </c>
      <c r="J484" s="745">
        <v>10</v>
      </c>
      <c r="K484" s="758">
        <v>11</v>
      </c>
      <c r="L484" s="475">
        <v>12</v>
      </c>
    </row>
    <row r="485" spans="1:12" hidden="1" x14ac:dyDescent="0.25">
      <c r="A485" s="1201"/>
      <c r="B485" s="1313" t="s">
        <v>2</v>
      </c>
      <c r="C485" s="1084" t="s">
        <v>180</v>
      </c>
      <c r="D485" s="346" t="s">
        <v>393</v>
      </c>
      <c r="E485" s="364">
        <f>E486</f>
        <v>31600000</v>
      </c>
      <c r="F485" s="364">
        <f>F486</f>
        <v>933198.75</v>
      </c>
      <c r="G485" s="1084"/>
      <c r="H485" s="1084"/>
      <c r="I485" s="1084"/>
      <c r="J485" s="1087"/>
      <c r="K485" s="1090"/>
      <c r="L485" s="353">
        <f>L486</f>
        <v>31600000</v>
      </c>
    </row>
    <row r="486" spans="1:12" hidden="1" x14ac:dyDescent="0.25">
      <c r="A486" s="1202"/>
      <c r="B486" s="1314"/>
      <c r="C486" s="1085"/>
      <c r="D486" s="786" t="s">
        <v>394</v>
      </c>
      <c r="E486" s="368">
        <f>E487+E488</f>
        <v>31600000</v>
      </c>
      <c r="F486" s="368">
        <f>F487+F488</f>
        <v>933198.75</v>
      </c>
      <c r="G486" s="1085"/>
      <c r="H486" s="1085"/>
      <c r="I486" s="1085"/>
      <c r="J486" s="1088"/>
      <c r="K486" s="1091"/>
      <c r="L486" s="492">
        <f>L487+L488</f>
        <v>31600000</v>
      </c>
    </row>
    <row r="487" spans="1:12" hidden="1" x14ac:dyDescent="0.25">
      <c r="A487" s="1202"/>
      <c r="B487" s="1314"/>
      <c r="C487" s="1085"/>
      <c r="D487" s="49" t="s">
        <v>283</v>
      </c>
      <c r="E487" s="368">
        <f>E491+E500</f>
        <v>31600000</v>
      </c>
      <c r="F487" s="368">
        <f>F491+F500</f>
        <v>933198.75</v>
      </c>
      <c r="G487" s="1085"/>
      <c r="H487" s="1085"/>
      <c r="I487" s="1085"/>
      <c r="J487" s="1088"/>
      <c r="K487" s="1091"/>
      <c r="L487" s="492">
        <f>L491+L500</f>
        <v>31600000</v>
      </c>
    </row>
    <row r="488" spans="1:12" ht="15.75" hidden="1" thickBot="1" x14ac:dyDescent="0.3">
      <c r="A488" s="1203"/>
      <c r="B488" s="1315"/>
      <c r="C488" s="1086"/>
      <c r="D488" s="142" t="s">
        <v>282</v>
      </c>
      <c r="E488" s="369">
        <f>E492+E501</f>
        <v>0</v>
      </c>
      <c r="F488" s="369">
        <f>F492+F501</f>
        <v>0</v>
      </c>
      <c r="G488" s="1086"/>
      <c r="H488" s="1086"/>
      <c r="I488" s="1086"/>
      <c r="J488" s="1089"/>
      <c r="K488" s="1092"/>
      <c r="L488" s="493">
        <f>L492+L501</f>
        <v>0</v>
      </c>
    </row>
    <row r="489" spans="1:12" ht="15.75" hidden="1" thickBot="1" x14ac:dyDescent="0.3">
      <c r="A489" s="1093"/>
      <c r="B489" s="1094"/>
      <c r="C489" s="1094"/>
      <c r="D489" s="1094"/>
      <c r="E489" s="1094"/>
      <c r="F489" s="1094"/>
      <c r="G489" s="1094"/>
      <c r="H489" s="1094"/>
      <c r="I489" s="1094"/>
      <c r="J489" s="1094"/>
      <c r="K489" s="1094"/>
      <c r="L489" s="1095"/>
    </row>
    <row r="490" spans="1:12" ht="15.75" hidden="1" customHeight="1" x14ac:dyDescent="0.25">
      <c r="A490" s="966"/>
      <c r="B490" s="979" t="s">
        <v>415</v>
      </c>
      <c r="C490" s="1061" t="s">
        <v>180</v>
      </c>
      <c r="D490" s="763" t="s">
        <v>394</v>
      </c>
      <c r="E490" s="365">
        <f>E491+E492</f>
        <v>31600000</v>
      </c>
      <c r="F490" s="365">
        <f>F491+F492</f>
        <v>933198.75</v>
      </c>
      <c r="G490" s="1002"/>
      <c r="H490" s="1179"/>
      <c r="I490" s="1002"/>
      <c r="J490" s="1033"/>
      <c r="K490" s="1036"/>
      <c r="L490" s="480">
        <f>L491+L492</f>
        <v>31600000</v>
      </c>
    </row>
    <row r="491" spans="1:12" hidden="1" x14ac:dyDescent="0.25">
      <c r="A491" s="1048"/>
      <c r="B491" s="980"/>
      <c r="C491" s="1062"/>
      <c r="D491" s="764" t="s">
        <v>283</v>
      </c>
      <c r="E491" s="366">
        <f>E494</f>
        <v>31600000</v>
      </c>
      <c r="F491" s="366">
        <f>F494</f>
        <v>933198.75</v>
      </c>
      <c r="G491" s="1003"/>
      <c r="H491" s="1180"/>
      <c r="I491" s="1003"/>
      <c r="J491" s="1034"/>
      <c r="K491" s="1037"/>
      <c r="L491" s="481">
        <f>L494</f>
        <v>31600000</v>
      </c>
    </row>
    <row r="492" spans="1:12" ht="15.75" hidden="1" thickBot="1" x14ac:dyDescent="0.3">
      <c r="A492" s="1048"/>
      <c r="B492" s="981"/>
      <c r="C492" s="1063"/>
      <c r="D492" s="765" t="s">
        <v>282</v>
      </c>
      <c r="E492" s="367">
        <f>E495</f>
        <v>0</v>
      </c>
      <c r="F492" s="367">
        <f>F495</f>
        <v>0</v>
      </c>
      <c r="G492" s="1004"/>
      <c r="H492" s="1181"/>
      <c r="I492" s="1004"/>
      <c r="J492" s="1035"/>
      <c r="K492" s="1038"/>
      <c r="L492" s="482">
        <f>L495</f>
        <v>0</v>
      </c>
    </row>
    <row r="493" spans="1:12" ht="18" hidden="1" customHeight="1" x14ac:dyDescent="0.25">
      <c r="A493" s="1048"/>
      <c r="B493" s="1182" t="s">
        <v>416</v>
      </c>
      <c r="C493" s="976"/>
      <c r="D493" s="762" t="s">
        <v>394</v>
      </c>
      <c r="E493" s="344">
        <f>E494+E495</f>
        <v>31600000</v>
      </c>
      <c r="F493" s="344">
        <f>F494+F495</f>
        <v>933198.75</v>
      </c>
      <c r="G493" s="976"/>
      <c r="H493" s="1055"/>
      <c r="I493" s="976"/>
      <c r="J493" s="1097"/>
      <c r="K493" s="1103"/>
      <c r="L493" s="486">
        <f>L494+L495</f>
        <v>31600000</v>
      </c>
    </row>
    <row r="494" spans="1:12" ht="18" hidden="1" customHeight="1" x14ac:dyDescent="0.25">
      <c r="A494" s="1048"/>
      <c r="B494" s="1183"/>
      <c r="C494" s="977"/>
      <c r="D494" s="761" t="s">
        <v>283</v>
      </c>
      <c r="E494" s="325">
        <f>E497</f>
        <v>31600000</v>
      </c>
      <c r="F494" s="325">
        <f>F497</f>
        <v>933198.75</v>
      </c>
      <c r="G494" s="977"/>
      <c r="H494" s="1056"/>
      <c r="I494" s="977"/>
      <c r="J494" s="1098"/>
      <c r="K494" s="1104"/>
      <c r="L494" s="468">
        <f>L497</f>
        <v>31600000</v>
      </c>
    </row>
    <row r="495" spans="1:12" ht="18" hidden="1" customHeight="1" thickBot="1" x14ac:dyDescent="0.3">
      <c r="A495" s="1048"/>
      <c r="B495" s="1184"/>
      <c r="C495" s="978"/>
      <c r="D495" s="151" t="s">
        <v>282</v>
      </c>
      <c r="E495" s="326">
        <f>E498</f>
        <v>0</v>
      </c>
      <c r="F495" s="326">
        <f>F498</f>
        <v>0</v>
      </c>
      <c r="G495" s="978"/>
      <c r="H495" s="1057"/>
      <c r="I495" s="978"/>
      <c r="J495" s="1099"/>
      <c r="K495" s="1105"/>
      <c r="L495" s="487">
        <f>L498</f>
        <v>0</v>
      </c>
    </row>
    <row r="496" spans="1:12" ht="32.25" hidden="1" customHeight="1" x14ac:dyDescent="0.25">
      <c r="A496" s="1048"/>
      <c r="B496" s="1049" t="s">
        <v>31</v>
      </c>
      <c r="C496" s="1169" t="s">
        <v>180</v>
      </c>
      <c r="D496" s="762" t="s">
        <v>394</v>
      </c>
      <c r="E496" s="347">
        <f>E497+E498</f>
        <v>31600000</v>
      </c>
      <c r="F496" s="347">
        <f>F497+F498</f>
        <v>933198.75</v>
      </c>
      <c r="G496" s="976"/>
      <c r="H496" s="1188" t="s">
        <v>417</v>
      </c>
      <c r="I496" s="976" t="s">
        <v>353</v>
      </c>
      <c r="J496" s="1106">
        <v>80</v>
      </c>
      <c r="K496" s="1138">
        <v>88.5</v>
      </c>
      <c r="L496" s="353">
        <f>L497+L498</f>
        <v>31600000</v>
      </c>
    </row>
    <row r="497" spans="1:12" ht="32.25" hidden="1" customHeight="1" x14ac:dyDescent="0.25">
      <c r="A497" s="1048"/>
      <c r="B497" s="1050"/>
      <c r="C497" s="1170"/>
      <c r="D497" s="761" t="s">
        <v>283</v>
      </c>
      <c r="E497" s="947">
        <v>31600000</v>
      </c>
      <c r="F497" s="948">
        <v>933198.75</v>
      </c>
      <c r="G497" s="977"/>
      <c r="H497" s="1189"/>
      <c r="I497" s="977"/>
      <c r="J497" s="1107"/>
      <c r="K497" s="1139"/>
      <c r="L497" s="495">
        <v>31600000</v>
      </c>
    </row>
    <row r="498" spans="1:12" ht="32.25" hidden="1" customHeight="1" thickBot="1" x14ac:dyDescent="0.3">
      <c r="A498" s="1048"/>
      <c r="B498" s="1051"/>
      <c r="C498" s="1171"/>
      <c r="D498" s="151" t="s">
        <v>282</v>
      </c>
      <c r="E498" s="949">
        <f>0</f>
        <v>0</v>
      </c>
      <c r="F498" s="950">
        <v>0</v>
      </c>
      <c r="G498" s="978"/>
      <c r="H498" s="1190"/>
      <c r="I498" s="978"/>
      <c r="J498" s="1108"/>
      <c r="K498" s="1140"/>
      <c r="L498" s="483">
        <v>0</v>
      </c>
    </row>
    <row r="499" spans="1:12" ht="15.75" hidden="1" customHeight="1" x14ac:dyDescent="0.25">
      <c r="A499" s="1048"/>
      <c r="B499" s="979" t="s">
        <v>418</v>
      </c>
      <c r="C499" s="1061" t="s">
        <v>180</v>
      </c>
      <c r="D499" s="763" t="s">
        <v>394</v>
      </c>
      <c r="E499" s="365">
        <f>E500+E501</f>
        <v>0</v>
      </c>
      <c r="F499" s="365">
        <f>F500+F501</f>
        <v>0</v>
      </c>
      <c r="G499" s="1002"/>
      <c r="H499" s="1002"/>
      <c r="I499" s="1002"/>
      <c r="J499" s="1033"/>
      <c r="K499" s="1036"/>
      <c r="L499" s="480">
        <f>L500+L501</f>
        <v>0</v>
      </c>
    </row>
    <row r="500" spans="1:12" ht="15.75" hidden="1" customHeight="1" x14ac:dyDescent="0.25">
      <c r="A500" s="1048"/>
      <c r="B500" s="980"/>
      <c r="C500" s="1062"/>
      <c r="D500" s="764" t="s">
        <v>283</v>
      </c>
      <c r="E500" s="366">
        <f>E503</f>
        <v>0</v>
      </c>
      <c r="F500" s="366">
        <f>F503</f>
        <v>0</v>
      </c>
      <c r="G500" s="1003"/>
      <c r="H500" s="1003"/>
      <c r="I500" s="1003"/>
      <c r="J500" s="1034"/>
      <c r="K500" s="1037"/>
      <c r="L500" s="481">
        <f>L503</f>
        <v>0</v>
      </c>
    </row>
    <row r="501" spans="1:12" ht="15.75" hidden="1" customHeight="1" thickBot="1" x14ac:dyDescent="0.3">
      <c r="A501" s="1048"/>
      <c r="B501" s="981"/>
      <c r="C501" s="1063"/>
      <c r="D501" s="765" t="s">
        <v>282</v>
      </c>
      <c r="E501" s="367">
        <f>E504</f>
        <v>0</v>
      </c>
      <c r="F501" s="367">
        <f>F504</f>
        <v>0</v>
      </c>
      <c r="G501" s="1004"/>
      <c r="H501" s="1004"/>
      <c r="I501" s="1004"/>
      <c r="J501" s="1035"/>
      <c r="K501" s="1038"/>
      <c r="L501" s="482">
        <f>L504</f>
        <v>0</v>
      </c>
    </row>
    <row r="502" spans="1:12" ht="16.5" hidden="1" customHeight="1" x14ac:dyDescent="0.25">
      <c r="A502" s="1048"/>
      <c r="B502" s="1070" t="s">
        <v>419</v>
      </c>
      <c r="C502" s="976"/>
      <c r="D502" s="762" t="s">
        <v>394</v>
      </c>
      <c r="E502" s="364">
        <f>E503+E504</f>
        <v>0</v>
      </c>
      <c r="F502" s="364">
        <f>F503+F504</f>
        <v>0</v>
      </c>
      <c r="G502" s="976"/>
      <c r="H502" s="976"/>
      <c r="I502" s="976"/>
      <c r="J502" s="1097"/>
      <c r="K502" s="1103"/>
      <c r="L502" s="353">
        <f>L503+L504</f>
        <v>0</v>
      </c>
    </row>
    <row r="503" spans="1:12" ht="16.5" hidden="1" customHeight="1" x14ac:dyDescent="0.25">
      <c r="A503" s="1048"/>
      <c r="B503" s="1071"/>
      <c r="C503" s="977"/>
      <c r="D503" s="761" t="s">
        <v>283</v>
      </c>
      <c r="E503" s="317">
        <f>E506</f>
        <v>0</v>
      </c>
      <c r="F503" s="317">
        <f>F506</f>
        <v>0</v>
      </c>
      <c r="G503" s="977"/>
      <c r="H503" s="977"/>
      <c r="I503" s="977"/>
      <c r="J503" s="1098"/>
      <c r="K503" s="1104"/>
      <c r="L503" s="495">
        <f>L506</f>
        <v>0</v>
      </c>
    </row>
    <row r="504" spans="1:12" ht="16.5" hidden="1" customHeight="1" thickBot="1" x14ac:dyDescent="0.3">
      <c r="A504" s="1048"/>
      <c r="B504" s="1071"/>
      <c r="C504" s="977"/>
      <c r="D504" s="789" t="s">
        <v>282</v>
      </c>
      <c r="E504" s="322">
        <f>E507</f>
        <v>0</v>
      </c>
      <c r="F504" s="322">
        <f>F507</f>
        <v>0</v>
      </c>
      <c r="G504" s="977"/>
      <c r="H504" s="978"/>
      <c r="I504" s="978"/>
      <c r="J504" s="1099"/>
      <c r="K504" s="1105"/>
      <c r="L504" s="483">
        <f>L507</f>
        <v>0</v>
      </c>
    </row>
    <row r="505" spans="1:12" ht="39.75" hidden="1" customHeight="1" x14ac:dyDescent="0.25">
      <c r="A505" s="1048"/>
      <c r="B505" s="1049" t="s">
        <v>420</v>
      </c>
      <c r="C505" s="1169" t="s">
        <v>180</v>
      </c>
      <c r="D505" s="762" t="s">
        <v>394</v>
      </c>
      <c r="E505" s="349">
        <f>E506+E507</f>
        <v>0</v>
      </c>
      <c r="F505" s="343">
        <f>F506+F507</f>
        <v>0</v>
      </c>
      <c r="G505" s="976"/>
      <c r="H505" s="1188" t="s">
        <v>421</v>
      </c>
      <c r="I505" s="976" t="s">
        <v>353</v>
      </c>
      <c r="J505" s="1106">
        <v>45</v>
      </c>
      <c r="K505" s="1138">
        <v>0</v>
      </c>
      <c r="L505" s="353">
        <f>L506+L507</f>
        <v>0</v>
      </c>
    </row>
    <row r="506" spans="1:12" ht="39.75" hidden="1" customHeight="1" x14ac:dyDescent="0.25">
      <c r="A506" s="1048"/>
      <c r="B506" s="1050"/>
      <c r="C506" s="1170"/>
      <c r="D506" s="761" t="s">
        <v>283</v>
      </c>
      <c r="E506" s="317">
        <v>0</v>
      </c>
      <c r="F506" s="470">
        <v>0</v>
      </c>
      <c r="G506" s="977"/>
      <c r="H506" s="1189"/>
      <c r="I506" s="977"/>
      <c r="J506" s="1107"/>
      <c r="K506" s="1139"/>
      <c r="L506" s="145">
        <v>0</v>
      </c>
    </row>
    <row r="507" spans="1:12" ht="39.75" hidden="1" customHeight="1" thickBot="1" x14ac:dyDescent="0.3">
      <c r="A507" s="967"/>
      <c r="B507" s="1051"/>
      <c r="C507" s="1171"/>
      <c r="D507" s="151" t="s">
        <v>282</v>
      </c>
      <c r="E507" s="322">
        <f>0</f>
        <v>0</v>
      </c>
      <c r="F507" s="333">
        <v>0</v>
      </c>
      <c r="G507" s="978"/>
      <c r="H507" s="1190"/>
      <c r="I507" s="978"/>
      <c r="J507" s="1108"/>
      <c r="K507" s="1140"/>
      <c r="L507" s="352">
        <v>0</v>
      </c>
    </row>
    <row r="508" spans="1:12" ht="15" hidden="1" customHeight="1" x14ac:dyDescent="0.25">
      <c r="A508" s="812"/>
      <c r="B508" s="828"/>
      <c r="C508" s="790"/>
      <c r="D508" s="499"/>
      <c r="E508" s="323"/>
      <c r="F508" s="323"/>
      <c r="G508" s="812"/>
      <c r="H508" s="850"/>
      <c r="I508" s="812"/>
      <c r="J508" s="743"/>
      <c r="K508" s="812"/>
      <c r="L508" s="490"/>
    </row>
    <row r="509" spans="1:12" ht="16.5" hidden="1" customHeight="1" x14ac:dyDescent="0.25">
      <c r="B509" s="499"/>
      <c r="L509" s="472" t="s">
        <v>333</v>
      </c>
    </row>
    <row r="510" spans="1:12" ht="33" hidden="1" customHeight="1" x14ac:dyDescent="0.25">
      <c r="A510" s="1124" t="s">
        <v>427</v>
      </c>
      <c r="B510" s="1124"/>
      <c r="C510" s="1124"/>
      <c r="D510" s="1124"/>
      <c r="E510" s="1124"/>
      <c r="F510" s="1124"/>
      <c r="G510" s="1124"/>
      <c r="H510" s="1124"/>
      <c r="I510" s="1124"/>
      <c r="J510" s="1124"/>
      <c r="K510" s="1124"/>
      <c r="L510" s="1124"/>
    </row>
    <row r="511" spans="1:12" ht="16.5" hidden="1" customHeight="1" x14ac:dyDescent="0.25">
      <c r="A511" s="750"/>
      <c r="B511" s="851" t="s">
        <v>334</v>
      </c>
      <c r="C511" s="1125" t="s">
        <v>639</v>
      </c>
      <c r="D511" s="1125"/>
      <c r="E511" s="1125"/>
      <c r="F511" s="1125"/>
      <c r="G511" s="812"/>
    </row>
    <row r="512" spans="1:12" ht="16.5" hidden="1" customHeight="1" x14ac:dyDescent="0.25">
      <c r="A512" s="750"/>
      <c r="B512" s="851" t="s">
        <v>175</v>
      </c>
      <c r="C512" s="1096" t="s">
        <v>180</v>
      </c>
      <c r="D512" s="1096"/>
      <c r="E512" s="1096"/>
      <c r="F512" s="1096"/>
      <c r="G512" s="832"/>
    </row>
    <row r="513" spans="1:12" ht="16.5" hidden="1" customHeight="1" thickBot="1" x14ac:dyDescent="0.3">
      <c r="A513" s="750"/>
      <c r="B513" s="851"/>
      <c r="C513" s="850"/>
      <c r="D513" s="850"/>
      <c r="E513" s="327"/>
      <c r="F513" s="319"/>
      <c r="G513" s="832"/>
    </row>
    <row r="514" spans="1:12" ht="85.5" hidden="1" customHeight="1" thickBot="1" x14ac:dyDescent="0.3">
      <c r="A514" s="752" t="s">
        <v>245</v>
      </c>
      <c r="B514" s="753" t="s">
        <v>337</v>
      </c>
      <c r="C514" s="754" t="s">
        <v>175</v>
      </c>
      <c r="D514" s="754" t="s">
        <v>338</v>
      </c>
      <c r="E514" s="320" t="s">
        <v>339</v>
      </c>
      <c r="F514" s="330" t="s">
        <v>340</v>
      </c>
      <c r="G514" s="552" t="s">
        <v>341</v>
      </c>
      <c r="H514" s="181" t="s">
        <v>342</v>
      </c>
      <c r="I514" s="181" t="s">
        <v>343</v>
      </c>
      <c r="J514" s="744" t="s">
        <v>344</v>
      </c>
      <c r="K514" s="755" t="s">
        <v>345</v>
      </c>
      <c r="L514" s="474" t="s">
        <v>346</v>
      </c>
    </row>
    <row r="515" spans="1:12" ht="16.5" hidden="1" customHeight="1" thickBot="1" x14ac:dyDescent="0.3">
      <c r="A515" s="756">
        <v>1</v>
      </c>
      <c r="B515" s="753">
        <v>2</v>
      </c>
      <c r="C515" s="757">
        <v>3</v>
      </c>
      <c r="D515" s="754">
        <v>4</v>
      </c>
      <c r="E515" s="341">
        <v>5</v>
      </c>
      <c r="F515" s="342">
        <v>6</v>
      </c>
      <c r="G515" s="552">
        <v>7</v>
      </c>
      <c r="H515" s="552">
        <v>8</v>
      </c>
      <c r="I515" s="552">
        <v>9</v>
      </c>
      <c r="J515" s="745">
        <v>10</v>
      </c>
      <c r="K515" s="758">
        <v>11</v>
      </c>
      <c r="L515" s="475">
        <v>12</v>
      </c>
    </row>
    <row r="516" spans="1:12" ht="16.5" hidden="1" customHeight="1" x14ac:dyDescent="0.25">
      <c r="A516" s="976"/>
      <c r="B516" s="1081" t="s">
        <v>636</v>
      </c>
      <c r="C516" s="1084" t="s">
        <v>180</v>
      </c>
      <c r="D516" s="346" t="s">
        <v>393</v>
      </c>
      <c r="E516" s="364">
        <f>E517</f>
        <v>550000</v>
      </c>
      <c r="F516" s="364">
        <f>F517</f>
        <v>0</v>
      </c>
      <c r="G516" s="1084"/>
      <c r="H516" s="1084"/>
      <c r="I516" s="1084"/>
      <c r="J516" s="1087"/>
      <c r="K516" s="1090"/>
      <c r="L516" s="353">
        <f>L517</f>
        <v>550000</v>
      </c>
    </row>
    <row r="517" spans="1:12" hidden="1" x14ac:dyDescent="0.25">
      <c r="A517" s="977"/>
      <c r="B517" s="1082"/>
      <c r="C517" s="1085"/>
      <c r="D517" s="786" t="s">
        <v>394</v>
      </c>
      <c r="E517" s="368">
        <f>E518+E519</f>
        <v>550000</v>
      </c>
      <c r="F517" s="368">
        <f>F518+F519</f>
        <v>0</v>
      </c>
      <c r="G517" s="1085"/>
      <c r="H517" s="1085"/>
      <c r="I517" s="1085"/>
      <c r="J517" s="1088"/>
      <c r="K517" s="1091"/>
      <c r="L517" s="492">
        <f>L518+L519</f>
        <v>550000</v>
      </c>
    </row>
    <row r="518" spans="1:12" hidden="1" x14ac:dyDescent="0.25">
      <c r="A518" s="977"/>
      <c r="B518" s="1082"/>
      <c r="C518" s="1085"/>
      <c r="D518" s="49" t="s">
        <v>283</v>
      </c>
      <c r="E518" s="368">
        <f>E522</f>
        <v>550000</v>
      </c>
      <c r="F518" s="368">
        <f>F522</f>
        <v>0</v>
      </c>
      <c r="G518" s="1085"/>
      <c r="H518" s="1085"/>
      <c r="I518" s="1085"/>
      <c r="J518" s="1088"/>
      <c r="K518" s="1091"/>
      <c r="L518" s="492">
        <f>L522</f>
        <v>550000</v>
      </c>
    </row>
    <row r="519" spans="1:12" ht="15.75" hidden="1" thickBot="1" x14ac:dyDescent="0.3">
      <c r="A519" s="978"/>
      <c r="B519" s="1083"/>
      <c r="C519" s="1086"/>
      <c r="D519" s="142" t="s">
        <v>282</v>
      </c>
      <c r="E519" s="369">
        <f>E523</f>
        <v>0</v>
      </c>
      <c r="F519" s="369">
        <f>F523</f>
        <v>0</v>
      </c>
      <c r="G519" s="1086"/>
      <c r="H519" s="1086"/>
      <c r="I519" s="1086"/>
      <c r="J519" s="1089"/>
      <c r="K519" s="1092"/>
      <c r="L519" s="493">
        <f>L523</f>
        <v>0</v>
      </c>
    </row>
    <row r="520" spans="1:12" ht="15.75" hidden="1" thickBot="1" x14ac:dyDescent="0.3">
      <c r="A520" s="1093"/>
      <c r="B520" s="1094"/>
      <c r="C520" s="1094"/>
      <c r="D520" s="1094"/>
      <c r="E520" s="1094"/>
      <c r="F520" s="1094"/>
      <c r="G520" s="1094"/>
      <c r="H520" s="1094"/>
      <c r="I520" s="1094"/>
      <c r="J520" s="1094"/>
      <c r="K520" s="1094"/>
      <c r="L520" s="1095"/>
    </row>
    <row r="521" spans="1:12" ht="15" hidden="1" customHeight="1" x14ac:dyDescent="0.25">
      <c r="A521" s="976"/>
      <c r="B521" s="1058" t="s">
        <v>635</v>
      </c>
      <c r="C521" s="1061" t="s">
        <v>180</v>
      </c>
      <c r="D521" s="763" t="s">
        <v>394</v>
      </c>
      <c r="E521" s="365">
        <f>E522+E523</f>
        <v>550000</v>
      </c>
      <c r="F521" s="365">
        <f>F522+F523</f>
        <v>0</v>
      </c>
      <c r="G521" s="1002"/>
      <c r="H521" s="1064"/>
      <c r="I521" s="1002"/>
      <c r="J521" s="1067"/>
      <c r="K521" s="1036"/>
      <c r="L521" s="484">
        <f>L522+L523</f>
        <v>550000</v>
      </c>
    </row>
    <row r="522" spans="1:12" hidden="1" x14ac:dyDescent="0.25">
      <c r="A522" s="977"/>
      <c r="B522" s="1059"/>
      <c r="C522" s="1062"/>
      <c r="D522" s="764" t="s">
        <v>283</v>
      </c>
      <c r="E522" s="372">
        <f>E525</f>
        <v>550000</v>
      </c>
      <c r="F522" s="372">
        <f>F525</f>
        <v>0</v>
      </c>
      <c r="G522" s="1003"/>
      <c r="H522" s="1065"/>
      <c r="I522" s="1003"/>
      <c r="J522" s="1068"/>
      <c r="K522" s="1037"/>
      <c r="L522" s="485">
        <f>L525</f>
        <v>550000</v>
      </c>
    </row>
    <row r="523" spans="1:12" ht="15.75" hidden="1" thickBot="1" x14ac:dyDescent="0.3">
      <c r="A523" s="977"/>
      <c r="B523" s="1060"/>
      <c r="C523" s="1063"/>
      <c r="D523" s="765" t="s">
        <v>282</v>
      </c>
      <c r="E523" s="373">
        <f>E526</f>
        <v>0</v>
      </c>
      <c r="F523" s="373">
        <f>F526</f>
        <v>0</v>
      </c>
      <c r="G523" s="1004"/>
      <c r="H523" s="1066"/>
      <c r="I523" s="1004"/>
      <c r="J523" s="1069"/>
      <c r="K523" s="1038"/>
      <c r="L523" s="488">
        <f>L526</f>
        <v>0</v>
      </c>
    </row>
    <row r="524" spans="1:12" ht="15.75" hidden="1" customHeight="1" x14ac:dyDescent="0.25">
      <c r="A524" s="977"/>
      <c r="B524" s="1070" t="s">
        <v>637</v>
      </c>
      <c r="C524" s="1169"/>
      <c r="D524" s="762" t="s">
        <v>394</v>
      </c>
      <c r="E524" s="374">
        <f>E525+E526</f>
        <v>550000</v>
      </c>
      <c r="F524" s="374">
        <f>F525+F526</f>
        <v>0</v>
      </c>
      <c r="G524" s="966"/>
      <c r="H524" s="1073"/>
      <c r="I524" s="966"/>
      <c r="J524" s="1076"/>
      <c r="K524" s="1042"/>
      <c r="L524" s="496">
        <f>L525+L526</f>
        <v>550000</v>
      </c>
    </row>
    <row r="525" spans="1:12" hidden="1" x14ac:dyDescent="0.25">
      <c r="A525" s="977"/>
      <c r="B525" s="1071"/>
      <c r="C525" s="1170"/>
      <c r="D525" s="761" t="s">
        <v>283</v>
      </c>
      <c r="E525" s="328">
        <f>E528</f>
        <v>550000</v>
      </c>
      <c r="F525" s="328">
        <f>F528</f>
        <v>0</v>
      </c>
      <c r="G525" s="1048"/>
      <c r="H525" s="1074"/>
      <c r="I525" s="1048"/>
      <c r="J525" s="1077"/>
      <c r="K525" s="1043"/>
      <c r="L525" s="466">
        <f>L528</f>
        <v>550000</v>
      </c>
    </row>
    <row r="526" spans="1:12" ht="15.75" hidden="1" thickBot="1" x14ac:dyDescent="0.3">
      <c r="A526" s="977"/>
      <c r="B526" s="1072"/>
      <c r="C526" s="1171"/>
      <c r="D526" s="151" t="s">
        <v>282</v>
      </c>
      <c r="E526" s="329">
        <f>E529</f>
        <v>0</v>
      </c>
      <c r="F526" s="329">
        <f>F529</f>
        <v>0</v>
      </c>
      <c r="G526" s="967"/>
      <c r="H526" s="1075"/>
      <c r="I526" s="967"/>
      <c r="J526" s="1078"/>
      <c r="K526" s="1044"/>
      <c r="L526" s="497">
        <f>L529</f>
        <v>0</v>
      </c>
    </row>
    <row r="527" spans="1:12" ht="16.5" hidden="1" customHeight="1" x14ac:dyDescent="0.25">
      <c r="A527" s="977"/>
      <c r="B527" s="1079" t="s">
        <v>634</v>
      </c>
      <c r="C527" s="966" t="s">
        <v>180</v>
      </c>
      <c r="D527" s="762" t="s">
        <v>394</v>
      </c>
      <c r="E527" s="348">
        <f>E528+E529</f>
        <v>550000</v>
      </c>
      <c r="F527" s="340">
        <f>F528+F529</f>
        <v>0</v>
      </c>
      <c r="G527" s="966" t="s">
        <v>445</v>
      </c>
      <c r="H527" s="1073" t="s">
        <v>638</v>
      </c>
      <c r="I527" s="966" t="s">
        <v>366</v>
      </c>
      <c r="J527" s="1076" t="s">
        <v>227</v>
      </c>
      <c r="K527" s="1042" t="s">
        <v>227</v>
      </c>
      <c r="L527" s="498">
        <f>L528+L529</f>
        <v>550000</v>
      </c>
    </row>
    <row r="528" spans="1:12" hidden="1" x14ac:dyDescent="0.25">
      <c r="A528" s="977"/>
      <c r="B528" s="1080"/>
      <c r="C528" s="1048"/>
      <c r="D528" s="761" t="s">
        <v>283</v>
      </c>
      <c r="E528" s="328">
        <v>550000</v>
      </c>
      <c r="F528" s="471">
        <v>0</v>
      </c>
      <c r="G528" s="1048"/>
      <c r="H528" s="1074"/>
      <c r="I528" s="1048"/>
      <c r="J528" s="1077"/>
      <c r="K528" s="1043"/>
      <c r="L528" s="466">
        <v>550000</v>
      </c>
    </row>
    <row r="529" spans="1:12" ht="15.75" hidden="1" thickBot="1" x14ac:dyDescent="0.3">
      <c r="A529" s="978"/>
      <c r="B529" s="1191"/>
      <c r="C529" s="967"/>
      <c r="D529" s="151" t="s">
        <v>282</v>
      </c>
      <c r="E529" s="329">
        <f>0</f>
        <v>0</v>
      </c>
      <c r="F529" s="339">
        <v>0</v>
      </c>
      <c r="G529" s="967"/>
      <c r="H529" s="1075"/>
      <c r="I529" s="967"/>
      <c r="J529" s="1078"/>
      <c r="K529" s="1044"/>
      <c r="L529" s="497">
        <v>0</v>
      </c>
    </row>
    <row r="530" spans="1:12" hidden="1" x14ac:dyDescent="0.25">
      <c r="A530" s="812"/>
      <c r="B530" s="828"/>
      <c r="C530" s="790"/>
      <c r="D530" s="499"/>
      <c r="E530" s="80"/>
      <c r="F530" s="80"/>
      <c r="G530" s="790"/>
      <c r="H530" s="828"/>
      <c r="I530" s="790"/>
      <c r="J530" s="746"/>
      <c r="K530" s="790"/>
      <c r="L530" s="499"/>
    </row>
    <row r="531" spans="1:12" hidden="1" x14ac:dyDescent="0.25">
      <c r="B531" s="499"/>
      <c r="L531" s="472" t="s">
        <v>333</v>
      </c>
    </row>
    <row r="532" spans="1:12" ht="29.25" hidden="1" customHeight="1" x14ac:dyDescent="0.25">
      <c r="A532" s="1124" t="s">
        <v>427</v>
      </c>
      <c r="B532" s="1124"/>
      <c r="C532" s="1124"/>
      <c r="D532" s="1124"/>
      <c r="E532" s="1124"/>
      <c r="F532" s="1124"/>
      <c r="G532" s="1124"/>
      <c r="H532" s="1124"/>
      <c r="I532" s="1124"/>
      <c r="J532" s="1124"/>
      <c r="K532" s="1124"/>
      <c r="L532" s="1124"/>
    </row>
    <row r="533" spans="1:12" ht="15" hidden="1" customHeight="1" x14ac:dyDescent="0.25">
      <c r="A533" s="750"/>
      <c r="B533" s="851" t="s">
        <v>334</v>
      </c>
      <c r="C533" s="1125" t="s">
        <v>424</v>
      </c>
      <c r="D533" s="1125"/>
      <c r="E533" s="1125"/>
      <c r="F533" s="1125"/>
      <c r="G533" s="1125"/>
    </row>
    <row r="534" spans="1:12" ht="15" hidden="1" customHeight="1" x14ac:dyDescent="0.25">
      <c r="A534" s="750"/>
      <c r="B534" s="851" t="s">
        <v>175</v>
      </c>
      <c r="C534" s="1096" t="s">
        <v>180</v>
      </c>
      <c r="D534" s="1096"/>
      <c r="E534" s="1096"/>
      <c r="F534" s="1096"/>
      <c r="G534" s="1096"/>
    </row>
    <row r="535" spans="1:12" ht="15.75" hidden="1" thickBot="1" x14ac:dyDescent="0.3">
      <c r="A535" s="812"/>
      <c r="B535" s="828"/>
      <c r="C535" s="790"/>
      <c r="D535" s="499"/>
      <c r="E535" s="80"/>
      <c r="F535" s="80"/>
      <c r="G535" s="790"/>
      <c r="H535" s="828"/>
      <c r="I535" s="790"/>
      <c r="J535" s="746"/>
      <c r="K535" s="790"/>
      <c r="L535" s="499"/>
    </row>
    <row r="536" spans="1:12" ht="77.25" hidden="1" thickBot="1" x14ac:dyDescent="0.3">
      <c r="A536" s="752" t="s">
        <v>245</v>
      </c>
      <c r="B536" s="753" t="s">
        <v>337</v>
      </c>
      <c r="C536" s="754" t="s">
        <v>175</v>
      </c>
      <c r="D536" s="754" t="s">
        <v>338</v>
      </c>
      <c r="E536" s="320" t="s">
        <v>339</v>
      </c>
      <c r="F536" s="330" t="s">
        <v>340</v>
      </c>
      <c r="G536" s="552" t="s">
        <v>341</v>
      </c>
      <c r="H536" s="181" t="s">
        <v>342</v>
      </c>
      <c r="I536" s="181" t="s">
        <v>343</v>
      </c>
      <c r="J536" s="744" t="s">
        <v>344</v>
      </c>
      <c r="K536" s="755" t="s">
        <v>345</v>
      </c>
      <c r="L536" s="474" t="s">
        <v>346</v>
      </c>
    </row>
    <row r="537" spans="1:12" ht="15.75" hidden="1" thickBot="1" x14ac:dyDescent="0.3">
      <c r="A537" s="756">
        <v>1</v>
      </c>
      <c r="B537" s="753">
        <v>2</v>
      </c>
      <c r="C537" s="757">
        <v>3</v>
      </c>
      <c r="D537" s="754">
        <v>4</v>
      </c>
      <c r="E537" s="341">
        <v>5</v>
      </c>
      <c r="F537" s="342">
        <v>6</v>
      </c>
      <c r="G537" s="552">
        <v>7</v>
      </c>
      <c r="H537" s="552">
        <v>8</v>
      </c>
      <c r="I537" s="552">
        <v>9</v>
      </c>
      <c r="J537" s="745">
        <v>10</v>
      </c>
      <c r="K537" s="758">
        <v>11</v>
      </c>
      <c r="L537" s="475">
        <v>12</v>
      </c>
    </row>
    <row r="538" spans="1:12" ht="15.75" hidden="1" customHeight="1" x14ac:dyDescent="0.25">
      <c r="A538" s="976"/>
      <c r="B538" s="1081" t="s">
        <v>3</v>
      </c>
      <c r="C538" s="1084" t="s">
        <v>180</v>
      </c>
      <c r="D538" s="346" t="s">
        <v>393</v>
      </c>
      <c r="E538" s="364">
        <f>E539</f>
        <v>35793426.329999998</v>
      </c>
      <c r="F538" s="364">
        <f>F539</f>
        <v>15113582.380000001</v>
      </c>
      <c r="G538" s="1084"/>
      <c r="H538" s="1084"/>
      <c r="I538" s="1084"/>
      <c r="J538" s="1087"/>
      <c r="K538" s="1090"/>
      <c r="L538" s="353">
        <f>L539</f>
        <v>35793426.329999998</v>
      </c>
    </row>
    <row r="539" spans="1:12" hidden="1" x14ac:dyDescent="0.25">
      <c r="A539" s="977"/>
      <c r="B539" s="1082"/>
      <c r="C539" s="1085"/>
      <c r="D539" s="786" t="s">
        <v>394</v>
      </c>
      <c r="E539" s="368">
        <f>E540+E541</f>
        <v>35793426.329999998</v>
      </c>
      <c r="F539" s="368">
        <f>F540+F541</f>
        <v>15113582.380000001</v>
      </c>
      <c r="G539" s="1085"/>
      <c r="H539" s="1085"/>
      <c r="I539" s="1085"/>
      <c r="J539" s="1088"/>
      <c r="K539" s="1091"/>
      <c r="L539" s="492">
        <f>L544+L553+L562</f>
        <v>35793426.329999998</v>
      </c>
    </row>
    <row r="540" spans="1:12" hidden="1" x14ac:dyDescent="0.25">
      <c r="A540" s="977"/>
      <c r="B540" s="1082"/>
      <c r="C540" s="1085"/>
      <c r="D540" s="786" t="s">
        <v>283</v>
      </c>
      <c r="E540" s="368">
        <f>E544+E553+E562</f>
        <v>35793426.329999998</v>
      </c>
      <c r="F540" s="368">
        <f>F544+F553+F562</f>
        <v>15113582.380000001</v>
      </c>
      <c r="G540" s="1085"/>
      <c r="H540" s="1085"/>
      <c r="I540" s="1085"/>
      <c r="J540" s="1088"/>
      <c r="K540" s="1091"/>
      <c r="L540" s="492">
        <f>L544</f>
        <v>35757426.329999998</v>
      </c>
    </row>
    <row r="541" spans="1:12" ht="15.75" hidden="1" thickBot="1" x14ac:dyDescent="0.3">
      <c r="A541" s="978"/>
      <c r="B541" s="1083"/>
      <c r="C541" s="1086"/>
      <c r="D541" s="791" t="s">
        <v>282</v>
      </c>
      <c r="E541" s="369">
        <f>E545+E554+E563</f>
        <v>0</v>
      </c>
      <c r="F541" s="369">
        <f>F545+F554+F563</f>
        <v>0</v>
      </c>
      <c r="G541" s="1086"/>
      <c r="H541" s="1086"/>
      <c r="I541" s="1086"/>
      <c r="J541" s="1089"/>
      <c r="K541" s="1092"/>
      <c r="L541" s="492">
        <f>L545</f>
        <v>0</v>
      </c>
    </row>
    <row r="542" spans="1:12" ht="15.75" hidden="1" thickBot="1" x14ac:dyDescent="0.3">
      <c r="A542" s="1093"/>
      <c r="B542" s="1094"/>
      <c r="C542" s="1094"/>
      <c r="D542" s="1094"/>
      <c r="E542" s="1094"/>
      <c r="F542" s="1094"/>
      <c r="G542" s="1094"/>
      <c r="H542" s="1094"/>
      <c r="I542" s="1094"/>
      <c r="J542" s="1094"/>
      <c r="K542" s="1094"/>
      <c r="L542" s="1095"/>
    </row>
    <row r="543" spans="1:12" ht="17.25" hidden="1" customHeight="1" x14ac:dyDescent="0.25">
      <c r="A543" s="976"/>
      <c r="B543" s="1064" t="s">
        <v>422</v>
      </c>
      <c r="C543" s="1002" t="s">
        <v>180</v>
      </c>
      <c r="D543" s="763" t="s">
        <v>394</v>
      </c>
      <c r="E543" s="365">
        <f>E544+E545</f>
        <v>35757426.329999998</v>
      </c>
      <c r="F543" s="365">
        <f>F544+F545</f>
        <v>15113582.380000001</v>
      </c>
      <c r="G543" s="1002"/>
      <c r="H543" s="1064"/>
      <c r="I543" s="1002"/>
      <c r="J543" s="1067"/>
      <c r="K543" s="1036"/>
      <c r="L543" s="484">
        <f>L544+L545</f>
        <v>35757426.329999998</v>
      </c>
    </row>
    <row r="544" spans="1:12" hidden="1" x14ac:dyDescent="0.25">
      <c r="A544" s="977"/>
      <c r="B544" s="1065"/>
      <c r="C544" s="1003"/>
      <c r="D544" s="764" t="s">
        <v>283</v>
      </c>
      <c r="E544" s="372">
        <f>E547</f>
        <v>35757426.329999998</v>
      </c>
      <c r="F544" s="372">
        <f>F547</f>
        <v>15113582.380000001</v>
      </c>
      <c r="G544" s="1003"/>
      <c r="H544" s="1065"/>
      <c r="I544" s="1003"/>
      <c r="J544" s="1068"/>
      <c r="K544" s="1037"/>
      <c r="L544" s="485">
        <f>L547</f>
        <v>35757426.329999998</v>
      </c>
    </row>
    <row r="545" spans="1:12" s="315" customFormat="1" ht="15.75" hidden="1" thickBot="1" x14ac:dyDescent="0.3">
      <c r="A545" s="977"/>
      <c r="B545" s="1066"/>
      <c r="C545" s="1004"/>
      <c r="D545" s="765" t="s">
        <v>282</v>
      </c>
      <c r="E545" s="373">
        <f>E548</f>
        <v>0</v>
      </c>
      <c r="F545" s="373">
        <f>F548</f>
        <v>0</v>
      </c>
      <c r="G545" s="1004"/>
      <c r="H545" s="1066"/>
      <c r="I545" s="1004"/>
      <c r="J545" s="1069"/>
      <c r="K545" s="1038"/>
      <c r="L545" s="488">
        <f>L548</f>
        <v>0</v>
      </c>
    </row>
    <row r="546" spans="1:12" s="315" customFormat="1" ht="15.75" hidden="1" customHeight="1" x14ac:dyDescent="0.25">
      <c r="A546" s="977"/>
      <c r="B546" s="1081" t="s">
        <v>423</v>
      </c>
      <c r="C546" s="970"/>
      <c r="D546" s="762" t="s">
        <v>394</v>
      </c>
      <c r="E546" s="374">
        <f>E547+E548</f>
        <v>35757426.329999998</v>
      </c>
      <c r="F546" s="374">
        <f>F547+F548</f>
        <v>15113582.380000001</v>
      </c>
      <c r="G546" s="970"/>
      <c r="H546" s="1192"/>
      <c r="I546" s="970"/>
      <c r="J546" s="1195"/>
      <c r="K546" s="1198"/>
      <c r="L546" s="498">
        <f>L547+L548</f>
        <v>35757426.329999998</v>
      </c>
    </row>
    <row r="547" spans="1:12" s="315" customFormat="1" hidden="1" x14ac:dyDescent="0.25">
      <c r="A547" s="977"/>
      <c r="B547" s="1082"/>
      <c r="C547" s="971"/>
      <c r="D547" s="761" t="s">
        <v>283</v>
      </c>
      <c r="E547" s="328">
        <f>E550</f>
        <v>35757426.329999998</v>
      </c>
      <c r="F547" s="328">
        <f>F550</f>
        <v>15113582.380000001</v>
      </c>
      <c r="G547" s="971"/>
      <c r="H547" s="1193"/>
      <c r="I547" s="971"/>
      <c r="J547" s="1196"/>
      <c r="K547" s="1199"/>
      <c r="L547" s="500">
        <f>L550</f>
        <v>35757426.329999998</v>
      </c>
    </row>
    <row r="548" spans="1:12" s="315" customFormat="1" ht="15.75" hidden="1" thickBot="1" x14ac:dyDescent="0.3">
      <c r="A548" s="977"/>
      <c r="B548" s="1083"/>
      <c r="C548" s="972"/>
      <c r="D548" s="151" t="s">
        <v>282</v>
      </c>
      <c r="E548" s="329">
        <f>E551</f>
        <v>0</v>
      </c>
      <c r="F548" s="329">
        <f>F551</f>
        <v>0</v>
      </c>
      <c r="G548" s="972"/>
      <c r="H548" s="1194"/>
      <c r="I548" s="972"/>
      <c r="J548" s="1197"/>
      <c r="K548" s="1200"/>
      <c r="L548" s="501">
        <f>L551</f>
        <v>0</v>
      </c>
    </row>
    <row r="549" spans="1:12" s="315" customFormat="1" ht="32.25" hidden="1" customHeight="1" x14ac:dyDescent="0.25">
      <c r="A549" s="977"/>
      <c r="B549" s="1079" t="s">
        <v>289</v>
      </c>
      <c r="C549" s="966" t="s">
        <v>180</v>
      </c>
      <c r="D549" s="762" t="s">
        <v>394</v>
      </c>
      <c r="E549" s="348">
        <f>E550+E551</f>
        <v>35757426.329999998</v>
      </c>
      <c r="F549" s="340">
        <f>F550+F551</f>
        <v>15113582.380000001</v>
      </c>
      <c r="G549" s="966"/>
      <c r="H549" s="1049" t="s">
        <v>640</v>
      </c>
      <c r="I549" s="966" t="s">
        <v>363</v>
      </c>
      <c r="J549" s="1039">
        <v>56</v>
      </c>
      <c r="K549" s="1127">
        <v>49</v>
      </c>
      <c r="L549" s="951">
        <f>L550+L551</f>
        <v>35757426.329999998</v>
      </c>
    </row>
    <row r="550" spans="1:12" s="315" customFormat="1" ht="32.25" hidden="1" customHeight="1" x14ac:dyDescent="0.25">
      <c r="A550" s="977"/>
      <c r="B550" s="1080"/>
      <c r="C550" s="1048"/>
      <c r="D550" s="761" t="s">
        <v>283</v>
      </c>
      <c r="E550" s="328">
        <v>35757426.329999998</v>
      </c>
      <c r="F550" s="471">
        <v>15113582.380000001</v>
      </c>
      <c r="G550" s="1048"/>
      <c r="H550" s="1050"/>
      <c r="I550" s="1048"/>
      <c r="J550" s="1040"/>
      <c r="K550" s="1128"/>
      <c r="L550" s="884">
        <v>35757426.329999998</v>
      </c>
    </row>
    <row r="551" spans="1:12" s="315" customFormat="1" ht="32.25" hidden="1" customHeight="1" thickBot="1" x14ac:dyDescent="0.3">
      <c r="A551" s="977"/>
      <c r="B551" s="1080"/>
      <c r="C551" s="1048"/>
      <c r="D551" s="789" t="s">
        <v>282</v>
      </c>
      <c r="E551" s="882">
        <f>0</f>
        <v>0</v>
      </c>
      <c r="F551" s="883">
        <v>0</v>
      </c>
      <c r="G551" s="1048"/>
      <c r="H551" s="1050"/>
      <c r="I551" s="1048"/>
      <c r="J551" s="1040"/>
      <c r="K551" s="1128"/>
      <c r="L551" s="884">
        <v>0</v>
      </c>
    </row>
    <row r="552" spans="1:12" s="315" customFormat="1" ht="19.5" hidden="1" customHeight="1" x14ac:dyDescent="0.25">
      <c r="A552" s="1055"/>
      <c r="B552" s="1299" t="s">
        <v>663</v>
      </c>
      <c r="C552" s="1002" t="s">
        <v>180</v>
      </c>
      <c r="D552" s="763" t="s">
        <v>394</v>
      </c>
      <c r="E552" s="365">
        <f>E553+E554</f>
        <v>36000</v>
      </c>
      <c r="F552" s="797">
        <f>F553+F554</f>
        <v>0</v>
      </c>
      <c r="G552" s="1002"/>
      <c r="H552" s="865"/>
      <c r="I552" s="866"/>
      <c r="J552" s="867"/>
      <c r="K552" s="868"/>
      <c r="L552" s="480">
        <f>L555</f>
        <v>36000</v>
      </c>
    </row>
    <row r="553" spans="1:12" s="315" customFormat="1" ht="19.5" hidden="1" customHeight="1" x14ac:dyDescent="0.25">
      <c r="A553" s="1056"/>
      <c r="B553" s="1300"/>
      <c r="C553" s="1003"/>
      <c r="D553" s="764" t="s">
        <v>283</v>
      </c>
      <c r="E553" s="366">
        <f>E556</f>
        <v>36000</v>
      </c>
      <c r="F553" s="773">
        <f>F556</f>
        <v>0</v>
      </c>
      <c r="G553" s="1003"/>
      <c r="H553" s="869"/>
      <c r="I553" s="870"/>
      <c r="J553" s="871"/>
      <c r="K553" s="872"/>
      <c r="L553" s="481">
        <f>L556</f>
        <v>36000</v>
      </c>
    </row>
    <row r="554" spans="1:12" s="315" customFormat="1" ht="19.5" hidden="1" customHeight="1" thickBot="1" x14ac:dyDescent="0.3">
      <c r="A554" s="1056"/>
      <c r="B554" s="1301"/>
      <c r="C554" s="1004"/>
      <c r="D554" s="765" t="s">
        <v>282</v>
      </c>
      <c r="E554" s="367">
        <f>E557</f>
        <v>0</v>
      </c>
      <c r="F554" s="774">
        <f>F557</f>
        <v>0</v>
      </c>
      <c r="G554" s="1004"/>
      <c r="H554" s="873"/>
      <c r="I554" s="874"/>
      <c r="J554" s="875"/>
      <c r="K554" s="876"/>
      <c r="L554" s="482">
        <f>L557</f>
        <v>0</v>
      </c>
    </row>
    <row r="555" spans="1:12" s="315" customFormat="1" ht="19.5" hidden="1" customHeight="1" x14ac:dyDescent="0.25">
      <c r="A555" s="1056"/>
      <c r="B555" s="1302" t="s">
        <v>664</v>
      </c>
      <c r="C555" s="966"/>
      <c r="D555" s="762" t="s">
        <v>394</v>
      </c>
      <c r="E555" s="374">
        <f>E556+E557</f>
        <v>36000</v>
      </c>
      <c r="F555" s="877">
        <f>F556+F557</f>
        <v>0</v>
      </c>
      <c r="G555" s="966"/>
      <c r="H555" s="855"/>
      <c r="I555" s="814"/>
      <c r="J555" s="815"/>
      <c r="K555" s="819"/>
      <c r="L555" s="798">
        <f>L556+L557</f>
        <v>36000</v>
      </c>
    </row>
    <row r="556" spans="1:12" s="315" customFormat="1" ht="19.5" hidden="1" customHeight="1" x14ac:dyDescent="0.25">
      <c r="A556" s="1056"/>
      <c r="B556" s="1303"/>
      <c r="C556" s="1048"/>
      <c r="D556" s="761" t="s">
        <v>283</v>
      </c>
      <c r="E556" s="858">
        <f>E559</f>
        <v>36000</v>
      </c>
      <c r="F556" s="878">
        <f>F559</f>
        <v>0</v>
      </c>
      <c r="G556" s="1048"/>
      <c r="H556" s="856"/>
      <c r="I556" s="792"/>
      <c r="J556" s="817"/>
      <c r="K556" s="820"/>
      <c r="L556" s="862">
        <f>L559</f>
        <v>36000</v>
      </c>
    </row>
    <row r="557" spans="1:12" s="315" customFormat="1" ht="19.5" hidden="1" customHeight="1" thickBot="1" x14ac:dyDescent="0.3">
      <c r="A557" s="1056"/>
      <c r="B557" s="1304"/>
      <c r="C557" s="967"/>
      <c r="D557" s="151" t="s">
        <v>282</v>
      </c>
      <c r="E557" s="859">
        <f>E560</f>
        <v>0</v>
      </c>
      <c r="F557" s="879">
        <f>F560</f>
        <v>0</v>
      </c>
      <c r="G557" s="967"/>
      <c r="H557" s="857"/>
      <c r="I557" s="860"/>
      <c r="J557" s="864"/>
      <c r="K557" s="793"/>
      <c r="L557" s="863">
        <f>L560</f>
        <v>0</v>
      </c>
    </row>
    <row r="558" spans="1:12" s="315" customFormat="1" ht="76.5" hidden="1" customHeight="1" x14ac:dyDescent="0.25">
      <c r="A558" s="1056"/>
      <c r="B558" s="1302" t="s">
        <v>665</v>
      </c>
      <c r="C558" s="966" t="s">
        <v>180</v>
      </c>
      <c r="D558" s="762" t="s">
        <v>394</v>
      </c>
      <c r="E558" s="374">
        <f>E559+E560</f>
        <v>36000</v>
      </c>
      <c r="F558" s="877">
        <f>F559+F560</f>
        <v>0</v>
      </c>
      <c r="G558" s="966"/>
      <c r="H558" s="1049" t="s">
        <v>666</v>
      </c>
      <c r="I558" s="966" t="s">
        <v>363</v>
      </c>
      <c r="J558" s="1039">
        <v>7</v>
      </c>
      <c r="K558" s="1127">
        <v>0</v>
      </c>
      <c r="L558" s="798">
        <f>L559+L560</f>
        <v>36000</v>
      </c>
    </row>
    <row r="559" spans="1:12" s="315" customFormat="1" ht="76.5" hidden="1" customHeight="1" x14ac:dyDescent="0.25">
      <c r="A559" s="1056"/>
      <c r="B559" s="1303"/>
      <c r="C559" s="1048"/>
      <c r="D559" s="761" t="s">
        <v>283</v>
      </c>
      <c r="E559" s="858">
        <v>36000</v>
      </c>
      <c r="F559" s="886">
        <v>0</v>
      </c>
      <c r="G559" s="1048"/>
      <c r="H559" s="1050"/>
      <c r="I559" s="1048"/>
      <c r="J559" s="1040"/>
      <c r="K559" s="1128"/>
      <c r="L559" s="862">
        <v>36000</v>
      </c>
    </row>
    <row r="560" spans="1:12" s="315" customFormat="1" ht="76.5" hidden="1" customHeight="1" thickBot="1" x14ac:dyDescent="0.3">
      <c r="A560" s="1057"/>
      <c r="B560" s="1304"/>
      <c r="C560" s="967"/>
      <c r="D560" s="151" t="s">
        <v>282</v>
      </c>
      <c r="E560" s="859">
        <v>0</v>
      </c>
      <c r="F560" s="887">
        <v>0</v>
      </c>
      <c r="G560" s="967"/>
      <c r="H560" s="1051"/>
      <c r="I560" s="967"/>
      <c r="J560" s="1041"/>
      <c r="K560" s="1129"/>
      <c r="L560" s="863">
        <v>0</v>
      </c>
    </row>
    <row r="561" spans="1:12" s="315" customFormat="1" ht="15.75" hidden="1" customHeight="1" x14ac:dyDescent="0.25">
      <c r="A561" s="977"/>
      <c r="B561" s="1065" t="s">
        <v>588</v>
      </c>
      <c r="C561" s="1003" t="s">
        <v>180</v>
      </c>
      <c r="D561" s="853" t="s">
        <v>394</v>
      </c>
      <c r="E561" s="372">
        <f>E562+E563</f>
        <v>0</v>
      </c>
      <c r="F561" s="372">
        <f>F562+F563</f>
        <v>0</v>
      </c>
      <c r="G561" s="1003"/>
      <c r="H561" s="1065"/>
      <c r="I561" s="1003"/>
      <c r="J561" s="1068"/>
      <c r="K561" s="1037"/>
      <c r="L561" s="854">
        <f>L562+L563</f>
        <v>0</v>
      </c>
    </row>
    <row r="562" spans="1:12" s="315" customFormat="1" ht="15.75" hidden="1" customHeight="1" x14ac:dyDescent="0.25">
      <c r="A562" s="977"/>
      <c r="B562" s="1065"/>
      <c r="C562" s="1003"/>
      <c r="D562" s="764" t="s">
        <v>283</v>
      </c>
      <c r="E562" s="372">
        <f>E565</f>
        <v>0</v>
      </c>
      <c r="F562" s="372">
        <f>F565</f>
        <v>0</v>
      </c>
      <c r="G562" s="1003"/>
      <c r="H562" s="1065"/>
      <c r="I562" s="1003"/>
      <c r="J562" s="1068"/>
      <c r="K562" s="1037"/>
      <c r="L562" s="485">
        <f>L565</f>
        <v>0</v>
      </c>
    </row>
    <row r="563" spans="1:12" s="315" customFormat="1" ht="15.75" hidden="1" customHeight="1" thickBot="1" x14ac:dyDescent="0.3">
      <c r="A563" s="977"/>
      <c r="B563" s="1066"/>
      <c r="C563" s="1004"/>
      <c r="D563" s="765" t="s">
        <v>282</v>
      </c>
      <c r="E563" s="373">
        <f>E566</f>
        <v>0</v>
      </c>
      <c r="F563" s="373">
        <f>F566</f>
        <v>0</v>
      </c>
      <c r="G563" s="1004"/>
      <c r="H563" s="1066"/>
      <c r="I563" s="1004"/>
      <c r="J563" s="1069"/>
      <c r="K563" s="1038"/>
      <c r="L563" s="488">
        <f>L566</f>
        <v>0</v>
      </c>
    </row>
    <row r="564" spans="1:12" s="315" customFormat="1" ht="17.25" hidden="1" customHeight="1" x14ac:dyDescent="0.25">
      <c r="A564" s="977"/>
      <c r="B564" s="1081" t="s">
        <v>589</v>
      </c>
      <c r="C564" s="970"/>
      <c r="D564" s="762" t="s">
        <v>394</v>
      </c>
      <c r="E564" s="374">
        <f>E565+E566</f>
        <v>0</v>
      </c>
      <c r="F564" s="374">
        <f>F565+F566</f>
        <v>0</v>
      </c>
      <c r="G564" s="970"/>
      <c r="H564" s="1192"/>
      <c r="I564" s="970"/>
      <c r="J564" s="1195"/>
      <c r="K564" s="1198"/>
      <c r="L564" s="498">
        <f>L565+L566</f>
        <v>0</v>
      </c>
    </row>
    <row r="565" spans="1:12" s="315" customFormat="1" ht="17.25" hidden="1" customHeight="1" x14ac:dyDescent="0.25">
      <c r="A565" s="977"/>
      <c r="B565" s="1082"/>
      <c r="C565" s="971"/>
      <c r="D565" s="761" t="s">
        <v>283</v>
      </c>
      <c r="E565" s="328">
        <f>E568</f>
        <v>0</v>
      </c>
      <c r="F565" s="328">
        <f>F568</f>
        <v>0</v>
      </c>
      <c r="G565" s="971"/>
      <c r="H565" s="1193"/>
      <c r="I565" s="971"/>
      <c r="J565" s="1196"/>
      <c r="K565" s="1199"/>
      <c r="L565" s="500">
        <f>L568</f>
        <v>0</v>
      </c>
    </row>
    <row r="566" spans="1:12" s="315" customFormat="1" ht="17.25" hidden="1" customHeight="1" thickBot="1" x14ac:dyDescent="0.3">
      <c r="A566" s="977"/>
      <c r="B566" s="1083"/>
      <c r="C566" s="972"/>
      <c r="D566" s="151" t="s">
        <v>282</v>
      </c>
      <c r="E566" s="329">
        <f>E569</f>
        <v>0</v>
      </c>
      <c r="F566" s="329">
        <f>F569</f>
        <v>0</v>
      </c>
      <c r="G566" s="972"/>
      <c r="H566" s="1194"/>
      <c r="I566" s="972"/>
      <c r="J566" s="1197"/>
      <c r="K566" s="1200"/>
      <c r="L566" s="501">
        <f>L569</f>
        <v>0</v>
      </c>
    </row>
    <row r="567" spans="1:12" s="315" customFormat="1" ht="23.25" hidden="1" customHeight="1" x14ac:dyDescent="0.25">
      <c r="A567" s="977"/>
      <c r="B567" s="1079" t="s">
        <v>590</v>
      </c>
      <c r="C567" s="966" t="s">
        <v>180</v>
      </c>
      <c r="D567" s="762" t="s">
        <v>394</v>
      </c>
      <c r="E567" s="348">
        <f>E568+E569</f>
        <v>0</v>
      </c>
      <c r="F567" s="340">
        <f>F568+F569</f>
        <v>0</v>
      </c>
      <c r="G567" s="966"/>
      <c r="H567" s="1049" t="s">
        <v>591</v>
      </c>
      <c r="I567" s="966" t="s">
        <v>592</v>
      </c>
      <c r="J567" s="1039">
        <v>1</v>
      </c>
      <c r="K567" s="1127">
        <v>1</v>
      </c>
      <c r="L567" s="951">
        <f>L568+L569</f>
        <v>0</v>
      </c>
    </row>
    <row r="568" spans="1:12" s="315" customFormat="1" ht="23.25" hidden="1" customHeight="1" x14ac:dyDescent="0.25">
      <c r="A568" s="977"/>
      <c r="B568" s="1080"/>
      <c r="C568" s="1048"/>
      <c r="D568" s="761" t="s">
        <v>283</v>
      </c>
      <c r="E568" s="328">
        <f>'таблица (всего)'!G189</f>
        <v>0</v>
      </c>
      <c r="F568" s="471">
        <v>0</v>
      </c>
      <c r="G568" s="1048"/>
      <c r="H568" s="1050"/>
      <c r="I568" s="1048"/>
      <c r="J568" s="1040"/>
      <c r="K568" s="1128"/>
      <c r="L568" s="884">
        <v>0</v>
      </c>
    </row>
    <row r="569" spans="1:12" s="315" customFormat="1" ht="23.25" hidden="1" customHeight="1" thickBot="1" x14ac:dyDescent="0.3">
      <c r="A569" s="978"/>
      <c r="B569" s="1191"/>
      <c r="C569" s="967"/>
      <c r="D569" s="151" t="s">
        <v>282</v>
      </c>
      <c r="E569" s="329">
        <f>0</f>
        <v>0</v>
      </c>
      <c r="F569" s="339">
        <v>0</v>
      </c>
      <c r="G569" s="967"/>
      <c r="H569" s="1051"/>
      <c r="I569" s="967"/>
      <c r="J569" s="1041"/>
      <c r="K569" s="1129"/>
      <c r="L569" s="497">
        <v>0</v>
      </c>
    </row>
    <row r="570" spans="1:12" s="315" customFormat="1" hidden="1" x14ac:dyDescent="0.25">
      <c r="A570" s="4"/>
      <c r="B570" s="499"/>
      <c r="C570" s="473"/>
      <c r="D570" s="473"/>
      <c r="E570" s="318"/>
      <c r="F570" s="318"/>
      <c r="G570" s="749"/>
      <c r="H570" s="473"/>
      <c r="I570" s="749"/>
      <c r="J570" s="742"/>
      <c r="K570" s="473"/>
      <c r="L570" s="472" t="s">
        <v>333</v>
      </c>
    </row>
    <row r="571" spans="1:12" s="315" customFormat="1" hidden="1" x14ac:dyDescent="0.25">
      <c r="A571" s="1124" t="s">
        <v>427</v>
      </c>
      <c r="B571" s="1124"/>
      <c r="C571" s="1124"/>
      <c r="D571" s="1124"/>
      <c r="E571" s="1124"/>
      <c r="F571" s="1124"/>
      <c r="G571" s="1124"/>
      <c r="H571" s="1124"/>
      <c r="I571" s="1124"/>
      <c r="J571" s="1124"/>
      <c r="K571" s="1124"/>
      <c r="L571" s="1124"/>
    </row>
    <row r="572" spans="1:12" s="315" customFormat="1" hidden="1" x14ac:dyDescent="0.25">
      <c r="A572" s="750"/>
      <c r="B572" s="851" t="s">
        <v>334</v>
      </c>
      <c r="C572" s="1125" t="s">
        <v>641</v>
      </c>
      <c r="D572" s="1125"/>
      <c r="E572" s="1125"/>
      <c r="F572" s="1125"/>
      <c r="G572" s="812"/>
      <c r="H572" s="473"/>
      <c r="I572" s="749"/>
      <c r="J572" s="742"/>
      <c r="K572" s="473"/>
      <c r="L572" s="473"/>
    </row>
    <row r="573" spans="1:12" s="315" customFormat="1" hidden="1" x14ac:dyDescent="0.25">
      <c r="A573" s="750"/>
      <c r="B573" s="851" t="s">
        <v>175</v>
      </c>
      <c r="C573" s="1096" t="s">
        <v>180</v>
      </c>
      <c r="D573" s="1096"/>
      <c r="E573" s="1096"/>
      <c r="F573" s="1096"/>
      <c r="G573" s="832"/>
      <c r="H573" s="473"/>
      <c r="I573" s="749"/>
      <c r="J573" s="742"/>
      <c r="K573" s="473"/>
      <c r="L573" s="473"/>
    </row>
    <row r="574" spans="1:12" s="315" customFormat="1" ht="15.75" hidden="1" thickBot="1" x14ac:dyDescent="0.3">
      <c r="A574" s="750"/>
      <c r="B574" s="851"/>
      <c r="C574" s="850"/>
      <c r="D574" s="850"/>
      <c r="E574" s="327"/>
      <c r="F574" s="319"/>
      <c r="G574" s="832"/>
      <c r="H574" s="473"/>
      <c r="I574" s="749"/>
      <c r="J574" s="742"/>
      <c r="K574" s="473"/>
      <c r="L574" s="473"/>
    </row>
    <row r="575" spans="1:12" s="315" customFormat="1" ht="77.25" hidden="1" thickBot="1" x14ac:dyDescent="0.3">
      <c r="A575" s="752" t="s">
        <v>245</v>
      </c>
      <c r="B575" s="753" t="s">
        <v>337</v>
      </c>
      <c r="C575" s="754" t="s">
        <v>175</v>
      </c>
      <c r="D575" s="754" t="s">
        <v>338</v>
      </c>
      <c r="E575" s="320" t="s">
        <v>339</v>
      </c>
      <c r="F575" s="330" t="s">
        <v>340</v>
      </c>
      <c r="G575" s="552" t="s">
        <v>341</v>
      </c>
      <c r="H575" s="181" t="s">
        <v>342</v>
      </c>
      <c r="I575" s="181" t="s">
        <v>343</v>
      </c>
      <c r="J575" s="744" t="s">
        <v>344</v>
      </c>
      <c r="K575" s="755" t="s">
        <v>345</v>
      </c>
      <c r="L575" s="474" t="s">
        <v>346</v>
      </c>
    </row>
    <row r="576" spans="1:12" s="315" customFormat="1" ht="15.75" hidden="1" thickBot="1" x14ac:dyDescent="0.3">
      <c r="A576" s="756">
        <v>1</v>
      </c>
      <c r="B576" s="753">
        <v>2</v>
      </c>
      <c r="C576" s="757">
        <v>3</v>
      </c>
      <c r="D576" s="754">
        <v>4</v>
      </c>
      <c r="E576" s="341">
        <v>5</v>
      </c>
      <c r="F576" s="342">
        <v>6</v>
      </c>
      <c r="G576" s="552">
        <v>7</v>
      </c>
      <c r="H576" s="552">
        <v>8</v>
      </c>
      <c r="I576" s="552">
        <v>9</v>
      </c>
      <c r="J576" s="745">
        <v>10</v>
      </c>
      <c r="K576" s="758">
        <v>11</v>
      </c>
      <c r="L576" s="475">
        <v>12</v>
      </c>
    </row>
    <row r="577" spans="1:12" s="315" customFormat="1" hidden="1" x14ac:dyDescent="0.25">
      <c r="A577" s="976"/>
      <c r="B577" s="1081" t="s">
        <v>8</v>
      </c>
      <c r="C577" s="1084" t="s">
        <v>180</v>
      </c>
      <c r="D577" s="346" t="s">
        <v>393</v>
      </c>
      <c r="E577" s="364">
        <f>E578</f>
        <v>0</v>
      </c>
      <c r="F577" s="364">
        <f>F578</f>
        <v>0</v>
      </c>
      <c r="G577" s="1084"/>
      <c r="H577" s="1084"/>
      <c r="I577" s="1084"/>
      <c r="J577" s="1087"/>
      <c r="K577" s="1090"/>
      <c r="L577" s="353">
        <f>L578</f>
        <v>9610400</v>
      </c>
    </row>
    <row r="578" spans="1:12" s="315" customFormat="1" hidden="1" x14ac:dyDescent="0.25">
      <c r="A578" s="977"/>
      <c r="B578" s="1082"/>
      <c r="C578" s="1085"/>
      <c r="D578" s="786" t="s">
        <v>394</v>
      </c>
      <c r="E578" s="368">
        <f>E579+E580</f>
        <v>0</v>
      </c>
      <c r="F578" s="368">
        <f>F579+F580</f>
        <v>0</v>
      </c>
      <c r="G578" s="1085"/>
      <c r="H578" s="1085"/>
      <c r="I578" s="1085"/>
      <c r="J578" s="1088"/>
      <c r="K578" s="1091"/>
      <c r="L578" s="492">
        <f>L579+L580</f>
        <v>9610400</v>
      </c>
    </row>
    <row r="579" spans="1:12" s="315" customFormat="1" hidden="1" x14ac:dyDescent="0.25">
      <c r="A579" s="977"/>
      <c r="B579" s="1082"/>
      <c r="C579" s="1085"/>
      <c r="D579" s="49" t="s">
        <v>283</v>
      </c>
      <c r="E579" s="368">
        <f>E583+E592</f>
        <v>0</v>
      </c>
      <c r="F579" s="368">
        <f>F583+F592</f>
        <v>0</v>
      </c>
      <c r="G579" s="1085"/>
      <c r="H579" s="1085"/>
      <c r="I579" s="1085"/>
      <c r="J579" s="1088"/>
      <c r="K579" s="1091"/>
      <c r="L579" s="492">
        <f>L583+L592</f>
        <v>9610400</v>
      </c>
    </row>
    <row r="580" spans="1:12" s="315" customFormat="1" ht="15.75" hidden="1" thickBot="1" x14ac:dyDescent="0.3">
      <c r="A580" s="978"/>
      <c r="B580" s="1083"/>
      <c r="C580" s="1086"/>
      <c r="D580" s="142" t="s">
        <v>282</v>
      </c>
      <c r="E580" s="369">
        <f>E584+E593</f>
        <v>0</v>
      </c>
      <c r="F580" s="369">
        <f>F584+F593</f>
        <v>0</v>
      </c>
      <c r="G580" s="1086"/>
      <c r="H580" s="1086"/>
      <c r="I580" s="1086"/>
      <c r="J580" s="1089"/>
      <c r="K580" s="1092"/>
      <c r="L580" s="493">
        <f>L584+L593</f>
        <v>0</v>
      </c>
    </row>
    <row r="581" spans="1:12" s="315" customFormat="1" ht="15.75" hidden="1" thickBot="1" x14ac:dyDescent="0.3">
      <c r="A581" s="1093"/>
      <c r="B581" s="1094"/>
      <c r="C581" s="1094"/>
      <c r="D581" s="1094"/>
      <c r="E581" s="1094"/>
      <c r="F581" s="1094"/>
      <c r="G581" s="1094"/>
      <c r="H581" s="1094"/>
      <c r="I581" s="1094"/>
      <c r="J581" s="1094"/>
      <c r="K581" s="1094"/>
      <c r="L581" s="1095"/>
    </row>
    <row r="582" spans="1:12" s="315" customFormat="1" hidden="1" x14ac:dyDescent="0.25">
      <c r="A582" s="976"/>
      <c r="B582" s="1058" t="s">
        <v>643</v>
      </c>
      <c r="C582" s="1061" t="s">
        <v>180</v>
      </c>
      <c r="D582" s="763" t="s">
        <v>394</v>
      </c>
      <c r="E582" s="365">
        <f>E583+E584</f>
        <v>0</v>
      </c>
      <c r="F582" s="365">
        <f>F583+F584</f>
        <v>0</v>
      </c>
      <c r="G582" s="1002"/>
      <c r="H582" s="1064"/>
      <c r="I582" s="1002"/>
      <c r="J582" s="1067"/>
      <c r="K582" s="1036"/>
      <c r="L582" s="484">
        <f>L583+L584</f>
        <v>0</v>
      </c>
    </row>
    <row r="583" spans="1:12" s="315" customFormat="1" hidden="1" x14ac:dyDescent="0.25">
      <c r="A583" s="977"/>
      <c r="B583" s="1059"/>
      <c r="C583" s="1062"/>
      <c r="D583" s="764" t="s">
        <v>283</v>
      </c>
      <c r="E583" s="372">
        <f>E586</f>
        <v>0</v>
      </c>
      <c r="F583" s="372">
        <f>F586</f>
        <v>0</v>
      </c>
      <c r="G583" s="1003"/>
      <c r="H583" s="1065"/>
      <c r="I583" s="1003"/>
      <c r="J583" s="1068"/>
      <c r="K583" s="1037"/>
      <c r="L583" s="485">
        <f>L586</f>
        <v>0</v>
      </c>
    </row>
    <row r="584" spans="1:12" s="315" customFormat="1" ht="15.75" hidden="1" thickBot="1" x14ac:dyDescent="0.3">
      <c r="A584" s="977"/>
      <c r="B584" s="1060"/>
      <c r="C584" s="1063"/>
      <c r="D584" s="765" t="s">
        <v>282</v>
      </c>
      <c r="E584" s="373">
        <f>E587</f>
        <v>0</v>
      </c>
      <c r="F584" s="373">
        <f>F587</f>
        <v>0</v>
      </c>
      <c r="G584" s="1004"/>
      <c r="H584" s="1066"/>
      <c r="I584" s="1004"/>
      <c r="J584" s="1069"/>
      <c r="K584" s="1038"/>
      <c r="L584" s="488">
        <f>L587</f>
        <v>0</v>
      </c>
    </row>
    <row r="585" spans="1:12" s="315" customFormat="1" hidden="1" x14ac:dyDescent="0.25">
      <c r="A585" s="977"/>
      <c r="B585" s="1070" t="s">
        <v>644</v>
      </c>
      <c r="C585" s="966"/>
      <c r="D585" s="762" t="s">
        <v>394</v>
      </c>
      <c r="E585" s="374">
        <f>E586+E587</f>
        <v>0</v>
      </c>
      <c r="F585" s="374">
        <f>F586+F587</f>
        <v>0</v>
      </c>
      <c r="G585" s="966"/>
      <c r="H585" s="1073"/>
      <c r="I585" s="966"/>
      <c r="J585" s="1076"/>
      <c r="K585" s="1042"/>
      <c r="L585" s="496">
        <f>L586+L587</f>
        <v>0</v>
      </c>
    </row>
    <row r="586" spans="1:12" s="315" customFormat="1" hidden="1" x14ac:dyDescent="0.25">
      <c r="A586" s="977"/>
      <c r="B586" s="1071"/>
      <c r="C586" s="1048"/>
      <c r="D586" s="761" t="s">
        <v>283</v>
      </c>
      <c r="E586" s="328">
        <f>E589</f>
        <v>0</v>
      </c>
      <c r="F586" s="328">
        <f>F589</f>
        <v>0</v>
      </c>
      <c r="G586" s="1048"/>
      <c r="H586" s="1074"/>
      <c r="I586" s="1048"/>
      <c r="J586" s="1077"/>
      <c r="K586" s="1043"/>
      <c r="L586" s="466">
        <f>L589</f>
        <v>0</v>
      </c>
    </row>
    <row r="587" spans="1:12" s="315" customFormat="1" ht="15.75" hidden="1" thickBot="1" x14ac:dyDescent="0.3">
      <c r="A587" s="977"/>
      <c r="B587" s="1072"/>
      <c r="C587" s="967"/>
      <c r="D587" s="151" t="s">
        <v>282</v>
      </c>
      <c r="E587" s="329">
        <f>E590</f>
        <v>0</v>
      </c>
      <c r="F587" s="329">
        <f>F590</f>
        <v>0</v>
      </c>
      <c r="G587" s="967"/>
      <c r="H587" s="1075"/>
      <c r="I587" s="967"/>
      <c r="J587" s="1078"/>
      <c r="K587" s="1044"/>
      <c r="L587" s="497">
        <f>L590</f>
        <v>0</v>
      </c>
    </row>
    <row r="588" spans="1:12" s="315" customFormat="1" hidden="1" x14ac:dyDescent="0.25">
      <c r="A588" s="977"/>
      <c r="B588" s="1079" t="s">
        <v>642</v>
      </c>
      <c r="C588" s="966" t="s">
        <v>180</v>
      </c>
      <c r="D588" s="762" t="s">
        <v>394</v>
      </c>
      <c r="E588" s="348">
        <f>E589+E590</f>
        <v>0</v>
      </c>
      <c r="F588" s="340">
        <f>F589+F590</f>
        <v>0</v>
      </c>
      <c r="G588" s="966" t="s">
        <v>445</v>
      </c>
      <c r="H588" s="1073" t="s">
        <v>645</v>
      </c>
      <c r="I588" s="966" t="s">
        <v>366</v>
      </c>
      <c r="J588" s="1076">
        <v>9.1999999999999993</v>
      </c>
      <c r="K588" s="1042" t="s">
        <v>646</v>
      </c>
      <c r="L588" s="498">
        <f>L589+L590</f>
        <v>0</v>
      </c>
    </row>
    <row r="589" spans="1:12" s="315" customFormat="1" hidden="1" x14ac:dyDescent="0.25">
      <c r="A589" s="977"/>
      <c r="B589" s="1080"/>
      <c r="C589" s="1048"/>
      <c r="D589" s="761" t="s">
        <v>283</v>
      </c>
      <c r="E589" s="328">
        <v>0</v>
      </c>
      <c r="F589" s="471">
        <v>0</v>
      </c>
      <c r="G589" s="1048"/>
      <c r="H589" s="1074"/>
      <c r="I589" s="1048"/>
      <c r="J589" s="1077"/>
      <c r="K589" s="1043"/>
      <c r="L589" s="466">
        <v>0</v>
      </c>
    </row>
    <row r="590" spans="1:12" s="315" customFormat="1" ht="15.75" hidden="1" thickBot="1" x14ac:dyDescent="0.3">
      <c r="A590" s="977"/>
      <c r="B590" s="1080"/>
      <c r="C590" s="1048"/>
      <c r="D590" s="789" t="s">
        <v>282</v>
      </c>
      <c r="E590" s="882">
        <f>0</f>
        <v>0</v>
      </c>
      <c r="F590" s="883">
        <v>0</v>
      </c>
      <c r="G590" s="1048"/>
      <c r="H590" s="1074"/>
      <c r="I590" s="1048"/>
      <c r="J590" s="1077"/>
      <c r="K590" s="1043"/>
      <c r="L590" s="884">
        <v>0</v>
      </c>
    </row>
    <row r="591" spans="1:12" s="315" customFormat="1" ht="18.75" hidden="1" customHeight="1" x14ac:dyDescent="0.25">
      <c r="A591" s="976"/>
      <c r="B591" s="979" t="s">
        <v>674</v>
      </c>
      <c r="C591" s="1002" t="s">
        <v>180</v>
      </c>
      <c r="D591" s="888" t="s">
        <v>394</v>
      </c>
      <c r="E591" s="365">
        <f>E592+E593</f>
        <v>0</v>
      </c>
      <c r="F591" s="797">
        <f>F592+F593</f>
        <v>0</v>
      </c>
      <c r="G591" s="1002"/>
      <c r="H591" s="1002"/>
      <c r="I591" s="1002"/>
      <c r="J591" s="1033"/>
      <c r="K591" s="1036"/>
      <c r="L591" s="480">
        <f>L592+L593</f>
        <v>9610400</v>
      </c>
    </row>
    <row r="592" spans="1:12" s="315" customFormat="1" ht="18.75" hidden="1" customHeight="1" x14ac:dyDescent="0.25">
      <c r="A592" s="977"/>
      <c r="B592" s="980"/>
      <c r="C592" s="1003"/>
      <c r="D592" s="889" t="s">
        <v>283</v>
      </c>
      <c r="E592" s="366">
        <f>E595</f>
        <v>0</v>
      </c>
      <c r="F592" s="773">
        <f>F595</f>
        <v>0</v>
      </c>
      <c r="G592" s="1003"/>
      <c r="H592" s="1003"/>
      <c r="I592" s="1003"/>
      <c r="J592" s="1034"/>
      <c r="K592" s="1037"/>
      <c r="L592" s="481">
        <f>L595</f>
        <v>9610400</v>
      </c>
    </row>
    <row r="593" spans="1:12" s="315" customFormat="1" ht="18.75" hidden="1" customHeight="1" thickBot="1" x14ac:dyDescent="0.3">
      <c r="A593" s="977"/>
      <c r="B593" s="981"/>
      <c r="C593" s="1004"/>
      <c r="D593" s="890" t="s">
        <v>282</v>
      </c>
      <c r="E593" s="367">
        <f>E596</f>
        <v>0</v>
      </c>
      <c r="F593" s="774">
        <f>F596</f>
        <v>0</v>
      </c>
      <c r="G593" s="1004"/>
      <c r="H593" s="1004"/>
      <c r="I593" s="1004"/>
      <c r="J593" s="1035"/>
      <c r="K593" s="1038"/>
      <c r="L593" s="482">
        <f>L596</f>
        <v>0</v>
      </c>
    </row>
    <row r="594" spans="1:12" s="315" customFormat="1" ht="19.5" hidden="1" customHeight="1" x14ac:dyDescent="0.25">
      <c r="A594" s="977"/>
      <c r="B594" s="1049" t="s">
        <v>677</v>
      </c>
      <c r="C594" s="966" t="s">
        <v>180</v>
      </c>
      <c r="D594" s="762" t="s">
        <v>394</v>
      </c>
      <c r="E594" s="374">
        <f>E595+E596</f>
        <v>0</v>
      </c>
      <c r="F594" s="877">
        <f>F595+F596</f>
        <v>0</v>
      </c>
      <c r="G594" s="966"/>
      <c r="H594" s="966"/>
      <c r="I594" s="966"/>
      <c r="J594" s="1039"/>
      <c r="K594" s="1042"/>
      <c r="L594" s="861">
        <f>L595+L596</f>
        <v>9610400</v>
      </c>
    </row>
    <row r="595" spans="1:12" s="315" customFormat="1" ht="19.5" hidden="1" customHeight="1" x14ac:dyDescent="0.25">
      <c r="A595" s="977"/>
      <c r="B595" s="1050"/>
      <c r="C595" s="1048"/>
      <c r="D595" s="761" t="s">
        <v>283</v>
      </c>
      <c r="E595" s="858">
        <v>0</v>
      </c>
      <c r="F595" s="862">
        <v>0</v>
      </c>
      <c r="G595" s="1048"/>
      <c r="H595" s="1048"/>
      <c r="I595" s="1048"/>
      <c r="J595" s="1040"/>
      <c r="K595" s="1043"/>
      <c r="L595" s="862">
        <f>L598</f>
        <v>9610400</v>
      </c>
    </row>
    <row r="596" spans="1:12" s="315" customFormat="1" ht="19.5" hidden="1" customHeight="1" thickBot="1" x14ac:dyDescent="0.3">
      <c r="A596" s="977"/>
      <c r="B596" s="1051"/>
      <c r="C596" s="967"/>
      <c r="D596" s="151" t="s">
        <v>282</v>
      </c>
      <c r="E596" s="859">
        <v>0</v>
      </c>
      <c r="F596" s="863">
        <v>0</v>
      </c>
      <c r="G596" s="967"/>
      <c r="H596" s="967"/>
      <c r="I596" s="967"/>
      <c r="J596" s="1041"/>
      <c r="K596" s="1044"/>
      <c r="L596" s="863">
        <f>L599</f>
        <v>0</v>
      </c>
    </row>
    <row r="597" spans="1:12" s="315" customFormat="1" ht="17.25" hidden="1" customHeight="1" x14ac:dyDescent="0.25">
      <c r="A597" s="977"/>
      <c r="B597" s="1049" t="s">
        <v>675</v>
      </c>
      <c r="C597" s="966" t="s">
        <v>180</v>
      </c>
      <c r="D597" s="762" t="s">
        <v>394</v>
      </c>
      <c r="E597" s="374">
        <f>E598+E599</f>
        <v>0</v>
      </c>
      <c r="F597" s="877">
        <f>F598+F599</f>
        <v>0</v>
      </c>
      <c r="G597" s="966" t="s">
        <v>445</v>
      </c>
      <c r="H597" s="1049" t="s">
        <v>676</v>
      </c>
      <c r="I597" s="966" t="s">
        <v>366</v>
      </c>
      <c r="J597" s="1039">
        <v>15</v>
      </c>
      <c r="K597" s="1045">
        <v>0</v>
      </c>
      <c r="L597" s="861">
        <f>L598+L599</f>
        <v>9610400</v>
      </c>
    </row>
    <row r="598" spans="1:12" s="315" customFormat="1" ht="17.25" hidden="1" customHeight="1" x14ac:dyDescent="0.25">
      <c r="A598" s="977"/>
      <c r="B598" s="1050"/>
      <c r="C598" s="1048"/>
      <c r="D598" s="761" t="s">
        <v>283</v>
      </c>
      <c r="E598" s="858">
        <v>0</v>
      </c>
      <c r="F598" s="862">
        <v>0</v>
      </c>
      <c r="G598" s="1048"/>
      <c r="H598" s="1050"/>
      <c r="I598" s="1048"/>
      <c r="J598" s="1040"/>
      <c r="K598" s="1046"/>
      <c r="L598" s="862">
        <v>9610400</v>
      </c>
    </row>
    <row r="599" spans="1:12" s="315" customFormat="1" ht="17.25" hidden="1" customHeight="1" thickBot="1" x14ac:dyDescent="0.3">
      <c r="A599" s="978"/>
      <c r="B599" s="1051"/>
      <c r="C599" s="967"/>
      <c r="D599" s="151" t="s">
        <v>282</v>
      </c>
      <c r="E599" s="859">
        <v>0</v>
      </c>
      <c r="F599" s="863">
        <v>0</v>
      </c>
      <c r="G599" s="967"/>
      <c r="H599" s="1051"/>
      <c r="I599" s="967"/>
      <c r="J599" s="1041"/>
      <c r="K599" s="1047"/>
      <c r="L599" s="863">
        <v>0</v>
      </c>
    </row>
    <row r="600" spans="1:12" s="315" customFormat="1" hidden="1" x14ac:dyDescent="0.25">
      <c r="A600" s="812"/>
      <c r="B600" s="828" t="s">
        <v>647</v>
      </c>
      <c r="C600" s="790"/>
      <c r="D600" s="499"/>
      <c r="E600" s="80"/>
      <c r="F600" s="80"/>
      <c r="G600" s="790"/>
      <c r="H600" s="828"/>
      <c r="I600" s="790"/>
      <c r="J600" s="746"/>
      <c r="K600" s="790"/>
      <c r="L600" s="80"/>
    </row>
    <row r="601" spans="1:12" s="315" customFormat="1" hidden="1" x14ac:dyDescent="0.25">
      <c r="A601" s="850"/>
      <c r="B601" s="499"/>
      <c r="C601" s="490"/>
      <c r="D601" s="490"/>
      <c r="E601" s="323">
        <f>E9+E421+E486+E517+E539+E578</f>
        <v>6546609997.0999994</v>
      </c>
      <c r="F601" s="323">
        <f>F9+F421+F486+F517+F539+F578</f>
        <v>2683526593.1600003</v>
      </c>
      <c r="G601" s="743"/>
      <c r="H601" s="490"/>
      <c r="I601" s="812"/>
      <c r="J601" s="743"/>
      <c r="K601" s="323"/>
      <c r="L601" s="323">
        <f>L9+L421+L486+L517+L539+L578</f>
        <v>6413183799.1699991</v>
      </c>
    </row>
    <row r="602" spans="1:12" s="315" customFormat="1" hidden="1" x14ac:dyDescent="0.25">
      <c r="A602" s="850"/>
      <c r="B602" s="499"/>
      <c r="C602" s="490"/>
      <c r="D602" s="490"/>
      <c r="E602" s="323">
        <f>10030000+4130000</f>
        <v>14160000</v>
      </c>
      <c r="F602" s="323">
        <f>5230000+1621928</f>
        <v>6851928</v>
      </c>
      <c r="G602" s="812"/>
      <c r="H602" s="490"/>
      <c r="I602" s="812"/>
      <c r="J602" s="743"/>
      <c r="K602" s="490"/>
      <c r="L602" s="323">
        <f>10030000+4130000</f>
        <v>14160000</v>
      </c>
    </row>
    <row r="603" spans="1:12" s="315" customFormat="1" hidden="1" x14ac:dyDescent="0.25">
      <c r="A603" s="850"/>
      <c r="B603" s="499"/>
      <c r="C603" s="490"/>
      <c r="D603" s="490"/>
      <c r="E603" s="323">
        <v>64282061</v>
      </c>
      <c r="F603" s="323">
        <v>3280084.02</v>
      </c>
      <c r="G603" s="812"/>
      <c r="H603" s="490"/>
      <c r="I603" s="812"/>
      <c r="J603" s="743"/>
      <c r="K603" s="490"/>
      <c r="L603" s="323">
        <v>64282061</v>
      </c>
    </row>
    <row r="604" spans="1:12" s="315" customFormat="1" hidden="1" x14ac:dyDescent="0.25">
      <c r="A604" s="850"/>
      <c r="B604" s="794" t="s">
        <v>429</v>
      </c>
      <c r="C604" s="795"/>
      <c r="D604" s="795"/>
      <c r="E604" s="357">
        <f>E601+E602+E603</f>
        <v>6625052058.0999994</v>
      </c>
      <c r="F604" s="357">
        <f>F601+F602+F603</f>
        <v>2693658605.1800003</v>
      </c>
      <c r="G604" s="832"/>
      <c r="H604" s="795"/>
      <c r="I604" s="832"/>
      <c r="J604" s="319"/>
      <c r="K604" s="795"/>
      <c r="L604" s="357">
        <f>L601+L602+L603</f>
        <v>6491625860.1699991</v>
      </c>
    </row>
    <row r="605" spans="1:12" s="315" customFormat="1" hidden="1" x14ac:dyDescent="0.25">
      <c r="A605" s="850"/>
      <c r="B605" s="499"/>
      <c r="C605" s="490"/>
      <c r="D605" s="490"/>
      <c r="E605" s="323">
        <f>6625052058.1-E604</f>
        <v>0</v>
      </c>
      <c r="F605" s="323">
        <f>2693658605.18-F604</f>
        <v>0</v>
      </c>
      <c r="G605" s="812"/>
      <c r="H605" s="490"/>
      <c r="I605" s="812"/>
      <c r="J605" s="743"/>
      <c r="K605" s="490"/>
      <c r="L605" s="323">
        <f>6491625860.17-L604</f>
        <v>0</v>
      </c>
    </row>
    <row r="606" spans="1:12" s="315" customFormat="1" x14ac:dyDescent="0.25">
      <c r="A606" s="850"/>
      <c r="B606" s="499"/>
      <c r="C606" s="490"/>
      <c r="D606" s="490"/>
      <c r="E606" s="323"/>
      <c r="F606" s="323"/>
      <c r="G606" s="812"/>
      <c r="H606" s="490"/>
      <c r="I606" s="812"/>
      <c r="J606" s="743"/>
      <c r="K606" s="490"/>
      <c r="L606" s="490"/>
    </row>
    <row r="607" spans="1:12" s="315" customFormat="1" x14ac:dyDescent="0.25">
      <c r="A607" s="850"/>
      <c r="B607" s="499"/>
      <c r="C607" s="490"/>
      <c r="D607" s="490"/>
      <c r="E607" s="323"/>
      <c r="F607" s="323"/>
      <c r="G607" s="812"/>
      <c r="H607" s="490"/>
      <c r="I607" s="812"/>
      <c r="J607" s="743"/>
      <c r="K607" s="490"/>
      <c r="L607" s="490"/>
    </row>
    <row r="608" spans="1:12" s="315" customFormat="1" x14ac:dyDescent="0.25">
      <c r="A608" s="850"/>
      <c r="B608" s="499"/>
      <c r="C608" s="490"/>
      <c r="D608" s="490"/>
      <c r="E608" s="323"/>
      <c r="F608" s="323"/>
      <c r="G608" s="812"/>
      <c r="H608" s="490"/>
      <c r="I608" s="812"/>
      <c r="J608" s="743"/>
      <c r="K608" s="490"/>
      <c r="L608" s="490"/>
    </row>
    <row r="609" spans="1:12" s="315" customFormat="1" x14ac:dyDescent="0.25">
      <c r="A609" s="850"/>
      <c r="B609" s="499"/>
      <c r="C609" s="490"/>
      <c r="D609" s="490"/>
      <c r="E609" s="323"/>
      <c r="F609" s="323"/>
      <c r="G609" s="812"/>
      <c r="H609" s="490"/>
      <c r="I609" s="812"/>
      <c r="J609" s="743"/>
      <c r="K609" s="490"/>
      <c r="L609" s="490"/>
    </row>
    <row r="610" spans="1:12" s="315" customFormat="1" x14ac:dyDescent="0.25">
      <c r="A610" s="850"/>
      <c r="B610" s="499"/>
      <c r="C610" s="490"/>
      <c r="D610" s="490"/>
      <c r="E610" s="323"/>
      <c r="F610" s="323"/>
      <c r="G610" s="812"/>
      <c r="H610" s="490"/>
      <c r="I610" s="812"/>
      <c r="J610" s="743"/>
      <c r="K610" s="490"/>
      <c r="L610" s="490"/>
    </row>
    <row r="611" spans="1:12" s="315" customFormat="1" x14ac:dyDescent="0.25">
      <c r="A611" s="850"/>
      <c r="B611" s="499"/>
      <c r="C611" s="490"/>
      <c r="D611" s="490"/>
      <c r="E611" s="323"/>
      <c r="F611" s="323"/>
      <c r="G611" s="812"/>
      <c r="H611" s="490"/>
      <c r="I611" s="812"/>
      <c r="J611" s="743"/>
      <c r="K611" s="490"/>
      <c r="L611" s="490"/>
    </row>
    <row r="612" spans="1:12" s="315" customFormat="1" x14ac:dyDescent="0.25">
      <c r="A612" s="850"/>
      <c r="B612" s="499"/>
      <c r="C612" s="490"/>
      <c r="D612" s="490"/>
      <c r="E612" s="323"/>
      <c r="F612" s="323"/>
      <c r="G612" s="812"/>
      <c r="H612" s="490"/>
      <c r="I612" s="812"/>
      <c r="J612" s="743"/>
      <c r="K612" s="490"/>
      <c r="L612" s="490"/>
    </row>
    <row r="613" spans="1:12" s="315" customFormat="1" x14ac:dyDescent="0.25">
      <c r="A613" s="850"/>
      <c r="B613" s="499"/>
      <c r="C613" s="490"/>
      <c r="D613" s="490"/>
      <c r="E613" s="323"/>
      <c r="F613" s="323"/>
      <c r="G613" s="812"/>
      <c r="H613" s="490"/>
      <c r="I613" s="812"/>
      <c r="J613" s="743"/>
      <c r="K613" s="490"/>
      <c r="L613" s="490"/>
    </row>
    <row r="614" spans="1:12" s="315" customFormat="1" x14ac:dyDescent="0.25">
      <c r="A614" s="850"/>
      <c r="B614" s="499"/>
      <c r="C614" s="490"/>
      <c r="D614" s="490"/>
      <c r="E614" s="323"/>
      <c r="F614" s="323"/>
      <c r="G614" s="812"/>
      <c r="H614" s="490"/>
      <c r="I614" s="812"/>
      <c r="J614" s="743"/>
      <c r="K614" s="490"/>
      <c r="L614" s="490"/>
    </row>
    <row r="615" spans="1:12" s="315" customFormat="1" x14ac:dyDescent="0.25">
      <c r="A615" s="850"/>
      <c r="B615" s="499"/>
      <c r="C615" s="490"/>
      <c r="D615" s="490"/>
      <c r="E615" s="323"/>
      <c r="F615" s="323"/>
      <c r="G615" s="812"/>
      <c r="H615" s="490"/>
      <c r="I615" s="812"/>
      <c r="J615" s="743"/>
      <c r="K615" s="490"/>
      <c r="L615" s="490"/>
    </row>
    <row r="616" spans="1:12" s="315" customFormat="1" x14ac:dyDescent="0.25">
      <c r="A616" s="850"/>
      <c r="B616" s="499"/>
      <c r="C616" s="490"/>
      <c r="D616" s="490"/>
      <c r="E616" s="323"/>
      <c r="F616" s="323"/>
      <c r="G616" s="812"/>
      <c r="H616" s="490"/>
      <c r="I616" s="812"/>
      <c r="J616" s="743"/>
      <c r="K616" s="490"/>
      <c r="L616" s="490"/>
    </row>
    <row r="617" spans="1:12" s="315" customFormat="1" x14ac:dyDescent="0.25">
      <c r="A617" s="850"/>
      <c r="B617" s="499"/>
      <c r="C617" s="490"/>
      <c r="D617" s="490"/>
      <c r="E617" s="323"/>
      <c r="F617" s="323"/>
      <c r="G617" s="812"/>
      <c r="H617" s="490"/>
      <c r="I617" s="812"/>
      <c r="J617" s="743"/>
      <c r="K617" s="490"/>
      <c r="L617" s="490"/>
    </row>
    <row r="618" spans="1:12" s="315" customFormat="1" x14ac:dyDescent="0.25">
      <c r="A618" s="850"/>
      <c r="B618" s="499"/>
      <c r="C618" s="490"/>
      <c r="D618" s="490"/>
      <c r="E618" s="323"/>
      <c r="F618" s="323"/>
      <c r="G618" s="812"/>
      <c r="H618" s="490"/>
      <c r="I618" s="812"/>
      <c r="J618" s="743"/>
      <c r="K618" s="490"/>
      <c r="L618" s="490"/>
    </row>
    <row r="619" spans="1:12" s="315" customFormat="1" x14ac:dyDescent="0.25">
      <c r="A619" s="850"/>
      <c r="B619" s="499"/>
      <c r="C619" s="490"/>
      <c r="D619" s="490"/>
      <c r="E619" s="323"/>
      <c r="F619" s="323"/>
      <c r="G619" s="812"/>
      <c r="H619" s="490"/>
      <c r="I619" s="812"/>
      <c r="J619" s="743"/>
      <c r="K619" s="490"/>
      <c r="L619" s="490"/>
    </row>
    <row r="620" spans="1:12" s="315" customFormat="1" x14ac:dyDescent="0.25">
      <c r="A620" s="850"/>
      <c r="B620" s="499"/>
      <c r="C620" s="490"/>
      <c r="D620" s="490"/>
      <c r="E620" s="323"/>
      <c r="F620" s="323"/>
      <c r="G620" s="812"/>
      <c r="H620" s="490"/>
      <c r="I620" s="812"/>
      <c r="J620" s="743"/>
      <c r="K620" s="490"/>
      <c r="L620" s="490"/>
    </row>
    <row r="621" spans="1:12" s="315" customFormat="1" x14ac:dyDescent="0.25">
      <c r="A621" s="850"/>
      <c r="B621" s="499"/>
      <c r="C621" s="490"/>
      <c r="D621" s="490"/>
      <c r="E621" s="323"/>
      <c r="F621" s="323"/>
      <c r="G621" s="812"/>
      <c r="H621" s="490"/>
      <c r="I621" s="812"/>
      <c r="J621" s="743"/>
      <c r="K621" s="490"/>
      <c r="L621" s="490"/>
    </row>
    <row r="622" spans="1:12" s="315" customFormat="1" x14ac:dyDescent="0.25">
      <c r="A622" s="850"/>
      <c r="B622" s="499"/>
      <c r="C622" s="490"/>
      <c r="D622" s="490"/>
      <c r="E622" s="323"/>
      <c r="F622" s="323"/>
      <c r="G622" s="812"/>
      <c r="H622" s="490"/>
      <c r="I622" s="812"/>
      <c r="J622" s="743"/>
      <c r="K622" s="490"/>
      <c r="L622" s="490"/>
    </row>
    <row r="623" spans="1:12" s="315" customFormat="1" x14ac:dyDescent="0.25">
      <c r="A623" s="850"/>
      <c r="B623" s="499"/>
      <c r="C623" s="490"/>
      <c r="D623" s="490"/>
      <c r="E623" s="323"/>
      <c r="F623" s="323"/>
      <c r="G623" s="812"/>
      <c r="H623" s="490"/>
      <c r="I623" s="812"/>
      <c r="J623" s="743"/>
      <c r="K623" s="490"/>
      <c r="L623" s="490"/>
    </row>
    <row r="624" spans="1:12" s="315" customFormat="1" x14ac:dyDescent="0.25">
      <c r="A624" s="850"/>
      <c r="B624" s="499"/>
      <c r="C624" s="490"/>
      <c r="D624" s="490"/>
      <c r="E624" s="323"/>
      <c r="F624" s="323"/>
      <c r="G624" s="812"/>
      <c r="H624" s="490"/>
      <c r="I624" s="812"/>
      <c r="J624" s="743"/>
      <c r="K624" s="490"/>
      <c r="L624" s="490"/>
    </row>
    <row r="625" spans="1:12" s="315" customFormat="1" x14ac:dyDescent="0.25">
      <c r="A625" s="850"/>
      <c r="B625" s="499"/>
      <c r="C625" s="490"/>
      <c r="D625" s="490"/>
      <c r="E625" s="323"/>
      <c r="F625" s="323"/>
      <c r="G625" s="812"/>
      <c r="H625" s="490"/>
      <c r="I625" s="812"/>
      <c r="J625" s="743"/>
      <c r="K625" s="490"/>
      <c r="L625" s="490"/>
    </row>
    <row r="626" spans="1:12" s="315" customFormat="1" x14ac:dyDescent="0.25">
      <c r="A626" s="850"/>
      <c r="B626" s="499"/>
      <c r="C626" s="490"/>
      <c r="D626" s="490"/>
      <c r="E626" s="323"/>
      <c r="F626" s="323"/>
      <c r="G626" s="812"/>
      <c r="H626" s="490"/>
      <c r="I626" s="812"/>
      <c r="J626" s="743"/>
      <c r="K626" s="490"/>
      <c r="L626" s="490"/>
    </row>
    <row r="627" spans="1:12" s="315" customFormat="1" x14ac:dyDescent="0.25">
      <c r="A627" s="850"/>
      <c r="B627" s="499"/>
      <c r="C627" s="490"/>
      <c r="D627" s="490"/>
      <c r="E627" s="323"/>
      <c r="F627" s="323"/>
      <c r="G627" s="812"/>
      <c r="H627" s="490"/>
      <c r="I627" s="812"/>
      <c r="J627" s="743"/>
      <c r="K627" s="490"/>
      <c r="L627" s="490"/>
    </row>
    <row r="628" spans="1:12" s="315" customFormat="1" x14ac:dyDescent="0.25">
      <c r="A628" s="850"/>
      <c r="B628" s="499"/>
      <c r="C628" s="490"/>
      <c r="D628" s="490"/>
      <c r="E628" s="323"/>
      <c r="F628" s="323"/>
      <c r="G628" s="812"/>
      <c r="H628" s="490"/>
      <c r="I628" s="812"/>
      <c r="J628" s="743"/>
      <c r="K628" s="490"/>
      <c r="L628" s="490"/>
    </row>
    <row r="629" spans="1:12" s="315" customFormat="1" x14ac:dyDescent="0.25">
      <c r="A629" s="850"/>
      <c r="B629" s="499"/>
      <c r="C629" s="490"/>
      <c r="D629" s="490"/>
      <c r="E629" s="323"/>
      <c r="F629" s="323"/>
      <c r="G629" s="812"/>
      <c r="H629" s="490"/>
      <c r="I629" s="812"/>
      <c r="J629" s="743"/>
      <c r="K629" s="490"/>
      <c r="L629" s="490"/>
    </row>
    <row r="630" spans="1:12" s="315" customFormat="1" x14ac:dyDescent="0.25">
      <c r="A630" s="850"/>
      <c r="B630" s="499"/>
      <c r="C630" s="490"/>
      <c r="D630" s="490"/>
      <c r="E630" s="323"/>
      <c r="F630" s="323"/>
      <c r="G630" s="812"/>
      <c r="H630" s="490"/>
      <c r="I630" s="812"/>
      <c r="J630" s="743"/>
      <c r="K630" s="490"/>
      <c r="L630" s="490"/>
    </row>
    <row r="631" spans="1:12" s="315" customFormat="1" x14ac:dyDescent="0.25">
      <c r="A631" s="850"/>
      <c r="B631" s="499"/>
      <c r="C631" s="490"/>
      <c r="D631" s="490"/>
      <c r="E631" s="323"/>
      <c r="F631" s="323"/>
      <c r="G631" s="812"/>
      <c r="H631" s="490"/>
      <c r="I631" s="812"/>
      <c r="J631" s="743"/>
      <c r="K631" s="490"/>
      <c r="L631" s="490"/>
    </row>
    <row r="632" spans="1:12" s="315" customFormat="1" x14ac:dyDescent="0.25">
      <c r="A632" s="850"/>
      <c r="B632" s="499"/>
      <c r="C632" s="490"/>
      <c r="D632" s="490"/>
      <c r="E632" s="323"/>
      <c r="F632" s="323"/>
      <c r="G632" s="812"/>
      <c r="H632" s="490"/>
      <c r="I632" s="812"/>
      <c r="J632" s="743"/>
      <c r="K632" s="490"/>
      <c r="L632" s="490"/>
    </row>
    <row r="633" spans="1:12" s="315" customFormat="1" x14ac:dyDescent="0.25">
      <c r="A633" s="850"/>
      <c r="B633" s="499"/>
      <c r="C633" s="490"/>
      <c r="D633" s="490"/>
      <c r="E633" s="323"/>
      <c r="F633" s="323"/>
      <c r="G633" s="812"/>
      <c r="H633" s="490"/>
      <c r="I633" s="812"/>
      <c r="J633" s="743"/>
      <c r="K633" s="490"/>
      <c r="L633" s="490"/>
    </row>
    <row r="634" spans="1:12" s="315" customFormat="1" x14ac:dyDescent="0.25">
      <c r="A634" s="850"/>
      <c r="B634" s="499"/>
      <c r="C634" s="490"/>
      <c r="D634" s="490"/>
      <c r="E634" s="323"/>
      <c r="F634" s="323"/>
      <c r="G634" s="812"/>
      <c r="H634" s="490"/>
      <c r="I634" s="812"/>
      <c r="J634" s="743"/>
      <c r="K634" s="490"/>
      <c r="L634" s="490"/>
    </row>
    <row r="635" spans="1:12" s="315" customFormat="1" x14ac:dyDescent="0.25">
      <c r="A635" s="850"/>
      <c r="B635" s="499"/>
      <c r="C635" s="490"/>
      <c r="D635" s="490"/>
      <c r="E635" s="323"/>
      <c r="F635" s="323"/>
      <c r="G635" s="812"/>
      <c r="H635" s="490"/>
      <c r="I635" s="812"/>
      <c r="J635" s="743"/>
      <c r="K635" s="490"/>
      <c r="L635" s="490"/>
    </row>
    <row r="636" spans="1:12" s="315" customFormat="1" x14ac:dyDescent="0.25">
      <c r="A636" s="850"/>
      <c r="B636" s="499"/>
      <c r="C636" s="490"/>
      <c r="D636" s="490"/>
      <c r="E636" s="323"/>
      <c r="F636" s="323"/>
      <c r="G636" s="812"/>
      <c r="H636" s="490"/>
      <c r="I636" s="812"/>
      <c r="J636" s="743"/>
      <c r="K636" s="490"/>
      <c r="L636" s="490"/>
    </row>
    <row r="637" spans="1:12" s="315" customFormat="1" x14ac:dyDescent="0.25">
      <c r="A637" s="850"/>
      <c r="B637" s="499"/>
      <c r="C637" s="490"/>
      <c r="D637" s="490"/>
      <c r="E637" s="323"/>
      <c r="F637" s="323"/>
      <c r="G637" s="812"/>
      <c r="H637" s="490"/>
      <c r="I637" s="812"/>
      <c r="J637" s="743"/>
      <c r="K637" s="490"/>
      <c r="L637" s="490"/>
    </row>
    <row r="638" spans="1:12" s="315" customFormat="1" x14ac:dyDescent="0.25">
      <c r="A638" s="850"/>
      <c r="B638" s="499"/>
      <c r="C638" s="490"/>
      <c r="D638" s="490"/>
      <c r="E638" s="323"/>
      <c r="F638" s="323"/>
      <c r="G638" s="812"/>
      <c r="H638" s="490"/>
      <c r="I638" s="812"/>
      <c r="J638" s="743"/>
      <c r="K638" s="490"/>
      <c r="L638" s="490"/>
    </row>
    <row r="639" spans="1:12" s="315" customFormat="1" x14ac:dyDescent="0.25">
      <c r="A639" s="850"/>
      <c r="B639" s="499"/>
      <c r="C639" s="490"/>
      <c r="D639" s="490"/>
      <c r="E639" s="323"/>
      <c r="F639" s="323"/>
      <c r="G639" s="812"/>
      <c r="H639" s="490"/>
      <c r="I639" s="812"/>
      <c r="J639" s="743"/>
      <c r="K639" s="490"/>
      <c r="L639" s="490"/>
    </row>
    <row r="640" spans="1:12" s="315" customFormat="1" x14ac:dyDescent="0.25">
      <c r="A640" s="850"/>
      <c r="B640" s="499"/>
      <c r="C640" s="490"/>
      <c r="D640" s="490"/>
      <c r="E640" s="323"/>
      <c r="F640" s="323"/>
      <c r="G640" s="812"/>
      <c r="H640" s="490"/>
      <c r="I640" s="812"/>
      <c r="J640" s="743"/>
      <c r="K640" s="490"/>
      <c r="L640" s="490"/>
    </row>
    <row r="641" spans="1:12" s="315" customFormat="1" x14ac:dyDescent="0.25">
      <c r="A641" s="850"/>
      <c r="B641" s="499"/>
      <c r="C641" s="490"/>
      <c r="D641" s="490"/>
      <c r="E641" s="323"/>
      <c r="F641" s="323"/>
      <c r="G641" s="812"/>
      <c r="H641" s="490"/>
      <c r="I641" s="812"/>
      <c r="J641" s="743"/>
      <c r="K641" s="490"/>
      <c r="L641" s="490"/>
    </row>
    <row r="642" spans="1:12" s="315" customFormat="1" x14ac:dyDescent="0.25">
      <c r="A642" s="850"/>
      <c r="B642" s="499"/>
      <c r="C642" s="490"/>
      <c r="D642" s="490"/>
      <c r="E642" s="323"/>
      <c r="F642" s="323"/>
      <c r="G642" s="812"/>
      <c r="H642" s="490"/>
      <c r="I642" s="812"/>
      <c r="J642" s="743"/>
      <c r="K642" s="490"/>
      <c r="L642" s="490"/>
    </row>
    <row r="643" spans="1:12" s="315" customFormat="1" x14ac:dyDescent="0.25">
      <c r="A643" s="850"/>
      <c r="B643" s="499"/>
      <c r="C643" s="490"/>
      <c r="D643" s="490"/>
      <c r="E643" s="323"/>
      <c r="F643" s="323"/>
      <c r="G643" s="812"/>
      <c r="H643" s="490"/>
      <c r="I643" s="812"/>
      <c r="J643" s="743"/>
      <c r="K643" s="490"/>
      <c r="L643" s="490"/>
    </row>
    <row r="644" spans="1:12" s="315" customFormat="1" x14ac:dyDescent="0.25">
      <c r="A644" s="850"/>
      <c r="B644" s="499"/>
      <c r="C644" s="490"/>
      <c r="D644" s="490"/>
      <c r="E644" s="323"/>
      <c r="F644" s="323"/>
      <c r="G644" s="812"/>
      <c r="H644" s="490"/>
      <c r="I644" s="812"/>
      <c r="J644" s="743"/>
      <c r="K644" s="490"/>
      <c r="L644" s="490"/>
    </row>
    <row r="645" spans="1:12" s="315" customFormat="1" x14ac:dyDescent="0.25">
      <c r="A645" s="850"/>
      <c r="B645" s="499"/>
      <c r="C645" s="490"/>
      <c r="D645" s="490"/>
      <c r="E645" s="323"/>
      <c r="F645" s="323"/>
      <c r="G645" s="812"/>
      <c r="H645" s="490"/>
      <c r="I645" s="812"/>
      <c r="J645" s="743"/>
      <c r="K645" s="490"/>
      <c r="L645" s="490"/>
    </row>
    <row r="646" spans="1:12" s="315" customFormat="1" x14ac:dyDescent="0.25">
      <c r="A646" s="850"/>
      <c r="B646" s="499"/>
      <c r="C646" s="490"/>
      <c r="D646" s="490"/>
      <c r="E646" s="323"/>
      <c r="F646" s="323"/>
      <c r="G646" s="812"/>
      <c r="H646" s="490"/>
      <c r="I646" s="812"/>
      <c r="J646" s="743"/>
      <c r="K646" s="490"/>
      <c r="L646" s="490"/>
    </row>
    <row r="647" spans="1:12" s="315" customFormat="1" x14ac:dyDescent="0.25">
      <c r="A647" s="850"/>
      <c r="B647" s="499"/>
      <c r="C647" s="490"/>
      <c r="D647" s="490"/>
      <c r="E647" s="323"/>
      <c r="F647" s="323"/>
      <c r="G647" s="812"/>
      <c r="H647" s="490"/>
      <c r="I647" s="812"/>
      <c r="J647" s="743"/>
      <c r="K647" s="490"/>
      <c r="L647" s="490"/>
    </row>
    <row r="648" spans="1:12" s="315" customFormat="1" x14ac:dyDescent="0.25">
      <c r="A648" s="850"/>
      <c r="B648" s="499"/>
      <c r="C648" s="490"/>
      <c r="D648" s="490"/>
      <c r="E648" s="323"/>
      <c r="F648" s="323"/>
      <c r="G648" s="812"/>
      <c r="H648" s="490"/>
      <c r="I648" s="812"/>
      <c r="J648" s="743"/>
      <c r="K648" s="490"/>
      <c r="L648" s="490"/>
    </row>
    <row r="649" spans="1:12" s="315" customFormat="1" x14ac:dyDescent="0.25">
      <c r="A649" s="850"/>
      <c r="B649" s="499"/>
      <c r="C649" s="490"/>
      <c r="D649" s="490"/>
      <c r="E649" s="323"/>
      <c r="F649" s="323"/>
      <c r="G649" s="812"/>
      <c r="H649" s="490"/>
      <c r="I649" s="812"/>
      <c r="J649" s="743"/>
      <c r="K649" s="490"/>
      <c r="L649" s="490"/>
    </row>
    <row r="650" spans="1:12" s="315" customFormat="1" x14ac:dyDescent="0.25">
      <c r="A650" s="850"/>
      <c r="B650" s="499"/>
      <c r="C650" s="490"/>
      <c r="D650" s="490"/>
      <c r="E650" s="323"/>
      <c r="F650" s="323"/>
      <c r="G650" s="812"/>
      <c r="H650" s="490"/>
      <c r="I650" s="812"/>
      <c r="J650" s="743"/>
      <c r="K650" s="490"/>
      <c r="L650" s="490"/>
    </row>
    <row r="651" spans="1:12" s="315" customFormat="1" x14ac:dyDescent="0.25">
      <c r="A651" s="850"/>
      <c r="B651" s="499"/>
      <c r="C651" s="490"/>
      <c r="D651" s="490"/>
      <c r="E651" s="323"/>
      <c r="F651" s="323"/>
      <c r="G651" s="812"/>
      <c r="H651" s="490"/>
      <c r="I651" s="812"/>
      <c r="J651" s="743"/>
      <c r="K651" s="490"/>
      <c r="L651" s="490"/>
    </row>
    <row r="652" spans="1:12" s="315" customFormat="1" x14ac:dyDescent="0.25">
      <c r="A652" s="850"/>
      <c r="B652" s="499"/>
      <c r="C652" s="490"/>
      <c r="D652" s="490"/>
      <c r="E652" s="323"/>
      <c r="F652" s="323"/>
      <c r="G652" s="812"/>
      <c r="H652" s="490"/>
      <c r="I652" s="812"/>
      <c r="J652" s="743"/>
      <c r="K652" s="490"/>
      <c r="L652" s="490"/>
    </row>
    <row r="653" spans="1:12" s="315" customFormat="1" x14ac:dyDescent="0.25">
      <c r="A653" s="850"/>
      <c r="B653" s="499"/>
      <c r="C653" s="490"/>
      <c r="D653" s="490"/>
      <c r="E653" s="323"/>
      <c r="F653" s="323"/>
      <c r="G653" s="812"/>
      <c r="H653" s="490"/>
      <c r="I653" s="812"/>
      <c r="J653" s="743"/>
      <c r="K653" s="490"/>
      <c r="L653" s="490"/>
    </row>
    <row r="654" spans="1:12" s="315" customFormat="1" x14ac:dyDescent="0.25">
      <c r="A654" s="850"/>
      <c r="B654" s="499"/>
      <c r="C654" s="490"/>
      <c r="D654" s="490"/>
      <c r="E654" s="323"/>
      <c r="F654" s="323"/>
      <c r="G654" s="812"/>
      <c r="H654" s="490"/>
      <c r="I654" s="812"/>
      <c r="J654" s="743"/>
      <c r="K654" s="490"/>
      <c r="L654" s="490"/>
    </row>
    <row r="655" spans="1:12" s="315" customFormat="1" x14ac:dyDescent="0.25">
      <c r="A655" s="850"/>
      <c r="B655" s="499"/>
      <c r="C655" s="490"/>
      <c r="D655" s="490"/>
      <c r="E655" s="323"/>
      <c r="F655" s="323"/>
      <c r="G655" s="812"/>
      <c r="H655" s="490"/>
      <c r="I655" s="812"/>
      <c r="J655" s="743"/>
      <c r="K655" s="490"/>
      <c r="L655" s="490"/>
    </row>
    <row r="656" spans="1:12" s="315" customFormat="1" x14ac:dyDescent="0.25">
      <c r="A656" s="850"/>
      <c r="B656" s="499"/>
      <c r="C656" s="490"/>
      <c r="D656" s="490"/>
      <c r="E656" s="323"/>
      <c r="F656" s="323"/>
      <c r="G656" s="812"/>
      <c r="H656" s="490"/>
      <c r="I656" s="812"/>
      <c r="J656" s="743"/>
      <c r="K656" s="490"/>
      <c r="L656" s="490"/>
    </row>
    <row r="657" spans="1:12" s="315" customFormat="1" x14ac:dyDescent="0.25">
      <c r="A657" s="850"/>
      <c r="B657" s="499"/>
      <c r="C657" s="490"/>
      <c r="D657" s="490"/>
      <c r="E657" s="323"/>
      <c r="F657" s="323"/>
      <c r="G657" s="812"/>
      <c r="H657" s="490"/>
      <c r="I657" s="812"/>
      <c r="J657" s="743"/>
      <c r="K657" s="490"/>
      <c r="L657" s="490"/>
    </row>
    <row r="658" spans="1:12" s="315" customFormat="1" x14ac:dyDescent="0.25">
      <c r="A658" s="850"/>
      <c r="B658" s="499"/>
      <c r="C658" s="490"/>
      <c r="D658" s="490"/>
      <c r="E658" s="323"/>
      <c r="F658" s="323"/>
      <c r="G658" s="812"/>
      <c r="H658" s="490"/>
      <c r="I658" s="812"/>
      <c r="J658" s="743"/>
      <c r="K658" s="490"/>
      <c r="L658" s="490"/>
    </row>
    <row r="659" spans="1:12" s="315" customFormat="1" x14ac:dyDescent="0.25">
      <c r="A659" s="850"/>
      <c r="B659" s="499"/>
      <c r="C659" s="490"/>
      <c r="D659" s="490"/>
      <c r="E659" s="323"/>
      <c r="F659" s="323"/>
      <c r="G659" s="812"/>
      <c r="H659" s="490"/>
      <c r="I659" s="812"/>
      <c r="J659" s="743"/>
      <c r="K659" s="490"/>
      <c r="L659" s="490"/>
    </row>
    <row r="660" spans="1:12" s="315" customFormat="1" x14ac:dyDescent="0.25">
      <c r="A660" s="850"/>
      <c r="B660" s="499"/>
      <c r="C660" s="490"/>
      <c r="D660" s="490"/>
      <c r="E660" s="323"/>
      <c r="F660" s="323"/>
      <c r="G660" s="812"/>
      <c r="H660" s="490"/>
      <c r="I660" s="812"/>
      <c r="J660" s="743"/>
      <c r="K660" s="490"/>
      <c r="L660" s="490"/>
    </row>
    <row r="661" spans="1:12" s="315" customFormat="1" x14ac:dyDescent="0.25">
      <c r="A661" s="850"/>
      <c r="B661" s="499"/>
      <c r="C661" s="490"/>
      <c r="D661" s="490"/>
      <c r="E661" s="323"/>
      <c r="F661" s="323"/>
      <c r="G661" s="812"/>
      <c r="H661" s="490"/>
      <c r="I661" s="812"/>
      <c r="J661" s="743"/>
      <c r="K661" s="490"/>
      <c r="L661" s="490"/>
    </row>
    <row r="662" spans="1:12" s="315" customFormat="1" x14ac:dyDescent="0.25">
      <c r="A662" s="850"/>
      <c r="B662" s="499"/>
      <c r="C662" s="490"/>
      <c r="D662" s="490"/>
      <c r="E662" s="323"/>
      <c r="F662" s="323"/>
      <c r="G662" s="812"/>
      <c r="H662" s="490"/>
      <c r="I662" s="812"/>
      <c r="J662" s="743"/>
      <c r="K662" s="490"/>
      <c r="L662" s="490"/>
    </row>
    <row r="663" spans="1:12" s="315" customFormat="1" x14ac:dyDescent="0.25">
      <c r="A663" s="850"/>
      <c r="B663" s="499"/>
      <c r="C663" s="490"/>
      <c r="D663" s="490"/>
      <c r="E663" s="323"/>
      <c r="F663" s="323"/>
      <c r="G663" s="812"/>
      <c r="H663" s="490"/>
      <c r="I663" s="812"/>
      <c r="J663" s="743"/>
      <c r="K663" s="490"/>
      <c r="L663" s="490"/>
    </row>
    <row r="664" spans="1:12" s="315" customFormat="1" x14ac:dyDescent="0.25">
      <c r="A664" s="850"/>
      <c r="B664" s="499"/>
      <c r="C664" s="490"/>
      <c r="D664" s="490"/>
      <c r="E664" s="323"/>
      <c r="F664" s="323"/>
      <c r="G664" s="812"/>
      <c r="H664" s="490"/>
      <c r="I664" s="812"/>
      <c r="J664" s="743"/>
      <c r="K664" s="490"/>
      <c r="L664" s="490"/>
    </row>
    <row r="665" spans="1:12" s="315" customFormat="1" x14ac:dyDescent="0.25">
      <c r="A665" s="850"/>
      <c r="B665" s="499"/>
      <c r="C665" s="490"/>
      <c r="D665" s="490"/>
      <c r="E665" s="323"/>
      <c r="F665" s="323"/>
      <c r="G665" s="812"/>
      <c r="H665" s="490"/>
      <c r="I665" s="812"/>
      <c r="J665" s="743"/>
      <c r="K665" s="490"/>
      <c r="L665" s="490"/>
    </row>
    <row r="666" spans="1:12" s="315" customFormat="1" x14ac:dyDescent="0.25">
      <c r="A666" s="850"/>
      <c r="B666" s="499"/>
      <c r="C666" s="490"/>
      <c r="D666" s="490"/>
      <c r="E666" s="323"/>
      <c r="F666" s="323"/>
      <c r="G666" s="812"/>
      <c r="H666" s="490"/>
      <c r="I666" s="812"/>
      <c r="J666" s="743"/>
      <c r="K666" s="490"/>
      <c r="L666" s="490"/>
    </row>
    <row r="667" spans="1:12" s="315" customFormat="1" x14ac:dyDescent="0.25">
      <c r="A667" s="850"/>
      <c r="B667" s="499"/>
      <c r="C667" s="490"/>
      <c r="D667" s="490"/>
      <c r="E667" s="323"/>
      <c r="F667" s="323"/>
      <c r="G667" s="812"/>
      <c r="H667" s="490"/>
      <c r="I667" s="812"/>
      <c r="J667" s="743"/>
      <c r="K667" s="490"/>
      <c r="L667" s="490"/>
    </row>
    <row r="668" spans="1:12" s="315" customFormat="1" x14ac:dyDescent="0.25">
      <c r="A668" s="850"/>
      <c r="B668" s="499"/>
      <c r="C668" s="490"/>
      <c r="D668" s="490"/>
      <c r="E668" s="323"/>
      <c r="F668" s="323"/>
      <c r="G668" s="812"/>
      <c r="H668" s="490"/>
      <c r="I668" s="812"/>
      <c r="J668" s="743"/>
      <c r="K668" s="490"/>
      <c r="L668" s="490"/>
    </row>
    <row r="669" spans="1:12" s="315" customFormat="1" x14ac:dyDescent="0.25">
      <c r="A669" s="850"/>
      <c r="B669" s="499"/>
      <c r="C669" s="490"/>
      <c r="D669" s="490"/>
      <c r="E669" s="323"/>
      <c r="F669" s="323"/>
      <c r="G669" s="812"/>
      <c r="H669" s="490"/>
      <c r="I669" s="812"/>
      <c r="J669" s="743"/>
      <c r="K669" s="490"/>
      <c r="L669" s="490"/>
    </row>
    <row r="670" spans="1:12" s="315" customFormat="1" x14ac:dyDescent="0.25">
      <c r="A670" s="850"/>
      <c r="B670" s="499"/>
      <c r="C670" s="490"/>
      <c r="D670" s="490"/>
      <c r="E670" s="323"/>
      <c r="F670" s="323"/>
      <c r="G670" s="812"/>
      <c r="H670" s="490"/>
      <c r="I670" s="812"/>
      <c r="J670" s="743"/>
      <c r="K670" s="490"/>
      <c r="L670" s="490"/>
    </row>
    <row r="671" spans="1:12" s="315" customFormat="1" x14ac:dyDescent="0.25">
      <c r="A671" s="850"/>
      <c r="B671" s="499"/>
      <c r="C671" s="490"/>
      <c r="D671" s="490"/>
      <c r="E671" s="323"/>
      <c r="F671" s="323"/>
      <c r="G671" s="812"/>
      <c r="H671" s="490"/>
      <c r="I671" s="812"/>
      <c r="J671" s="743"/>
      <c r="K671" s="490"/>
      <c r="L671" s="490"/>
    </row>
    <row r="672" spans="1:12" s="315" customFormat="1" x14ac:dyDescent="0.25">
      <c r="A672" s="850"/>
      <c r="B672" s="499"/>
      <c r="C672" s="490"/>
      <c r="D672" s="490"/>
      <c r="E672" s="323"/>
      <c r="F672" s="323"/>
      <c r="G672" s="812"/>
      <c r="H672" s="490"/>
      <c r="I672" s="812"/>
      <c r="J672" s="743"/>
      <c r="K672" s="490"/>
      <c r="L672" s="490"/>
    </row>
    <row r="673" spans="1:12" s="315" customFormat="1" x14ac:dyDescent="0.25">
      <c r="A673" s="850"/>
      <c r="B673" s="499"/>
      <c r="C673" s="490"/>
      <c r="D673" s="490"/>
      <c r="E673" s="323"/>
      <c r="F673" s="323"/>
      <c r="G673" s="812"/>
      <c r="H673" s="490"/>
      <c r="I673" s="812"/>
      <c r="J673" s="743"/>
      <c r="K673" s="490"/>
      <c r="L673" s="490"/>
    </row>
    <row r="674" spans="1:12" s="315" customFormat="1" x14ac:dyDescent="0.25">
      <c r="A674" s="850"/>
      <c r="B674" s="499"/>
      <c r="C674" s="490"/>
      <c r="D674" s="490"/>
      <c r="E674" s="323"/>
      <c r="F674" s="323"/>
      <c r="G674" s="812"/>
      <c r="H674" s="490"/>
      <c r="I674" s="812"/>
      <c r="J674" s="743"/>
      <c r="K674" s="490"/>
      <c r="L674" s="490"/>
    </row>
    <row r="675" spans="1:12" s="315" customFormat="1" x14ac:dyDescent="0.25">
      <c r="A675" s="850"/>
      <c r="B675" s="499"/>
      <c r="C675" s="490"/>
      <c r="D675" s="490"/>
      <c r="E675" s="323"/>
      <c r="F675" s="323"/>
      <c r="G675" s="812"/>
      <c r="H675" s="490"/>
      <c r="I675" s="812"/>
      <c r="J675" s="743"/>
      <c r="K675" s="490"/>
      <c r="L675" s="490"/>
    </row>
    <row r="676" spans="1:12" s="315" customFormat="1" x14ac:dyDescent="0.25">
      <c r="A676" s="850"/>
      <c r="B676" s="499"/>
      <c r="C676" s="490"/>
      <c r="D676" s="490"/>
      <c r="E676" s="323"/>
      <c r="F676" s="323"/>
      <c r="G676" s="812"/>
      <c r="H676" s="490"/>
      <c r="I676" s="812"/>
      <c r="J676" s="743"/>
      <c r="K676" s="490"/>
      <c r="L676" s="490"/>
    </row>
    <row r="677" spans="1:12" s="315" customFormat="1" x14ac:dyDescent="0.25">
      <c r="A677" s="850"/>
      <c r="B677" s="499"/>
      <c r="C677" s="490"/>
      <c r="D677" s="490"/>
      <c r="E677" s="323"/>
      <c r="F677" s="323"/>
      <c r="G677" s="812"/>
      <c r="H677" s="490"/>
      <c r="I677" s="812"/>
      <c r="J677" s="743"/>
      <c r="K677" s="490"/>
      <c r="L677" s="490"/>
    </row>
    <row r="678" spans="1:12" s="315" customFormat="1" x14ac:dyDescent="0.25">
      <c r="A678" s="850"/>
      <c r="B678" s="499"/>
      <c r="C678" s="490"/>
      <c r="D678" s="490"/>
      <c r="E678" s="323"/>
      <c r="F678" s="323"/>
      <c r="G678" s="812"/>
      <c r="H678" s="490"/>
      <c r="I678" s="812"/>
      <c r="J678" s="743"/>
      <c r="K678" s="490"/>
      <c r="L678" s="490"/>
    </row>
    <row r="679" spans="1:12" s="315" customFormat="1" x14ac:dyDescent="0.25">
      <c r="A679" s="850"/>
      <c r="B679" s="499"/>
      <c r="C679" s="490"/>
      <c r="D679" s="490"/>
      <c r="E679" s="323"/>
      <c r="F679" s="323"/>
      <c r="G679" s="812"/>
      <c r="H679" s="490"/>
      <c r="I679" s="812"/>
      <c r="J679" s="743"/>
      <c r="K679" s="490"/>
      <c r="L679" s="490"/>
    </row>
    <row r="680" spans="1:12" s="315" customFormat="1" x14ac:dyDescent="0.25">
      <c r="A680" s="850"/>
      <c r="B680" s="499"/>
      <c r="C680" s="490"/>
      <c r="D680" s="490"/>
      <c r="E680" s="323"/>
      <c r="F680" s="323"/>
      <c r="G680" s="812"/>
      <c r="H680" s="490"/>
      <c r="I680" s="812"/>
      <c r="J680" s="743"/>
      <c r="K680" s="490"/>
      <c r="L680" s="490"/>
    </row>
    <row r="681" spans="1:12" s="315" customFormat="1" x14ac:dyDescent="0.25">
      <c r="A681" s="850"/>
      <c r="B681" s="499"/>
      <c r="C681" s="490"/>
      <c r="D681" s="490"/>
      <c r="E681" s="323"/>
      <c r="F681" s="323"/>
      <c r="G681" s="812"/>
      <c r="H681" s="490"/>
      <c r="I681" s="812"/>
      <c r="J681" s="743"/>
      <c r="K681" s="490"/>
      <c r="L681" s="490"/>
    </row>
    <row r="682" spans="1:12" s="315" customFormat="1" x14ac:dyDescent="0.25">
      <c r="A682" s="850"/>
      <c r="B682" s="499"/>
      <c r="C682" s="490"/>
      <c r="D682" s="490"/>
      <c r="E682" s="323"/>
      <c r="F682" s="323"/>
      <c r="G682" s="812"/>
      <c r="H682" s="490"/>
      <c r="I682" s="812"/>
      <c r="J682" s="743"/>
      <c r="K682" s="490"/>
      <c r="L682" s="490"/>
    </row>
    <row r="683" spans="1:12" s="315" customFormat="1" x14ac:dyDescent="0.25">
      <c r="A683" s="850"/>
      <c r="B683" s="499"/>
      <c r="C683" s="490"/>
      <c r="D683" s="490"/>
      <c r="E683" s="323"/>
      <c r="F683" s="323"/>
      <c r="G683" s="812"/>
      <c r="H683" s="490"/>
      <c r="I683" s="812"/>
      <c r="J683" s="743"/>
      <c r="K683" s="490"/>
      <c r="L683" s="490"/>
    </row>
    <row r="684" spans="1:12" s="315" customFormat="1" x14ac:dyDescent="0.25">
      <c r="A684" s="850"/>
      <c r="B684" s="499"/>
      <c r="C684" s="490"/>
      <c r="D684" s="490"/>
      <c r="E684" s="323"/>
      <c r="F684" s="323"/>
      <c r="G684" s="812"/>
      <c r="H684" s="490"/>
      <c r="I684" s="812"/>
      <c r="J684" s="743"/>
      <c r="K684" s="490"/>
      <c r="L684" s="490"/>
    </row>
    <row r="685" spans="1:12" s="315" customFormat="1" x14ac:dyDescent="0.25">
      <c r="A685" s="850"/>
      <c r="B685" s="499"/>
      <c r="C685" s="490"/>
      <c r="D685" s="490"/>
      <c r="E685" s="323"/>
      <c r="F685" s="323"/>
      <c r="G685" s="812"/>
      <c r="H685" s="490"/>
      <c r="I685" s="812"/>
      <c r="J685" s="743"/>
      <c r="K685" s="490"/>
      <c r="L685" s="490"/>
    </row>
    <row r="686" spans="1:12" s="315" customFormat="1" x14ac:dyDescent="0.25">
      <c r="A686" s="850"/>
      <c r="B686" s="499"/>
      <c r="C686" s="490"/>
      <c r="D686" s="490"/>
      <c r="E686" s="323"/>
      <c r="F686" s="323"/>
      <c r="G686" s="812"/>
      <c r="H686" s="490"/>
      <c r="I686" s="812"/>
      <c r="J686" s="743"/>
      <c r="K686" s="490"/>
      <c r="L686" s="490"/>
    </row>
    <row r="687" spans="1:12" s="315" customFormat="1" x14ac:dyDescent="0.25">
      <c r="A687" s="850"/>
      <c r="B687" s="499"/>
      <c r="C687" s="490"/>
      <c r="D687" s="490"/>
      <c r="E687" s="323"/>
      <c r="F687" s="323"/>
      <c r="G687" s="812"/>
      <c r="H687" s="490"/>
      <c r="I687" s="812"/>
      <c r="J687" s="743"/>
      <c r="K687" s="490"/>
      <c r="L687" s="490"/>
    </row>
    <row r="688" spans="1:12" s="315" customFormat="1" x14ac:dyDescent="0.25">
      <c r="A688" s="850"/>
      <c r="B688" s="499"/>
      <c r="C688" s="490"/>
      <c r="D688" s="490"/>
      <c r="E688" s="323"/>
      <c r="F688" s="323"/>
      <c r="G688" s="812"/>
      <c r="H688" s="490"/>
      <c r="I688" s="812"/>
      <c r="J688" s="743"/>
      <c r="K688" s="490"/>
      <c r="L688" s="490"/>
    </row>
    <row r="689" spans="1:12" s="315" customFormat="1" x14ac:dyDescent="0.25">
      <c r="A689" s="850"/>
      <c r="B689" s="499"/>
      <c r="C689" s="490"/>
      <c r="D689" s="490"/>
      <c r="E689" s="323"/>
      <c r="F689" s="323"/>
      <c r="G689" s="812"/>
      <c r="H689" s="490"/>
      <c r="I689" s="812"/>
      <c r="J689" s="743"/>
      <c r="K689" s="490"/>
      <c r="L689" s="490"/>
    </row>
    <row r="690" spans="1:12" s="315" customFormat="1" x14ac:dyDescent="0.25">
      <c r="A690" s="850"/>
      <c r="B690" s="499"/>
      <c r="C690" s="490"/>
      <c r="D690" s="490"/>
      <c r="E690" s="323"/>
      <c r="F690" s="323"/>
      <c r="G690" s="812"/>
      <c r="H690" s="490"/>
      <c r="I690" s="812"/>
      <c r="J690" s="743"/>
      <c r="K690" s="490"/>
      <c r="L690" s="490"/>
    </row>
    <row r="691" spans="1:12" s="315" customFormat="1" x14ac:dyDescent="0.25">
      <c r="A691" s="850"/>
      <c r="B691" s="499"/>
      <c r="C691" s="490"/>
      <c r="D691" s="490"/>
      <c r="E691" s="323"/>
      <c r="F691" s="323"/>
      <c r="G691" s="812"/>
      <c r="H691" s="490"/>
      <c r="I691" s="812"/>
      <c r="J691" s="743"/>
      <c r="K691" s="490"/>
      <c r="L691" s="490"/>
    </row>
    <row r="692" spans="1:12" s="315" customFormat="1" x14ac:dyDescent="0.25">
      <c r="A692" s="850"/>
      <c r="B692" s="499"/>
      <c r="C692" s="490"/>
      <c r="D692" s="490"/>
      <c r="E692" s="323"/>
      <c r="F692" s="323"/>
      <c r="G692" s="812"/>
      <c r="H692" s="490"/>
      <c r="I692" s="812"/>
      <c r="J692" s="743"/>
      <c r="K692" s="490"/>
      <c r="L692" s="490"/>
    </row>
    <row r="693" spans="1:12" s="315" customFormat="1" x14ac:dyDescent="0.25">
      <c r="A693" s="850"/>
      <c r="B693" s="499"/>
      <c r="C693" s="490"/>
      <c r="D693" s="490"/>
      <c r="E693" s="323"/>
      <c r="F693" s="323"/>
      <c r="G693" s="812"/>
      <c r="H693" s="490"/>
      <c r="I693" s="812"/>
      <c r="J693" s="743"/>
      <c r="K693" s="490"/>
      <c r="L693" s="490"/>
    </row>
    <row r="694" spans="1:12" s="315" customFormat="1" x14ac:dyDescent="0.25">
      <c r="A694" s="850"/>
      <c r="B694" s="499"/>
      <c r="C694" s="490"/>
      <c r="D694" s="490"/>
      <c r="E694" s="323"/>
      <c r="F694" s="323"/>
      <c r="G694" s="812"/>
      <c r="H694" s="490"/>
      <c r="I694" s="812"/>
      <c r="J694" s="743"/>
      <c r="K694" s="490"/>
      <c r="L694" s="490"/>
    </row>
    <row r="695" spans="1:12" s="315" customFormat="1" x14ac:dyDescent="0.25">
      <c r="A695" s="850"/>
      <c r="B695" s="499"/>
      <c r="C695" s="490"/>
      <c r="D695" s="490"/>
      <c r="E695" s="323"/>
      <c r="F695" s="323"/>
      <c r="G695" s="812"/>
      <c r="H695" s="490"/>
      <c r="I695" s="812"/>
      <c r="J695" s="743"/>
      <c r="K695" s="490"/>
      <c r="L695" s="490"/>
    </row>
    <row r="696" spans="1:12" s="315" customFormat="1" x14ac:dyDescent="0.25">
      <c r="A696" s="850"/>
      <c r="B696" s="499"/>
      <c r="C696" s="490"/>
      <c r="D696" s="490"/>
      <c r="E696" s="323"/>
      <c r="F696" s="323"/>
      <c r="G696" s="812"/>
      <c r="H696" s="490"/>
      <c r="I696" s="812"/>
      <c r="J696" s="743"/>
      <c r="K696" s="490"/>
      <c r="L696" s="490"/>
    </row>
    <row r="697" spans="1:12" s="315" customFormat="1" x14ac:dyDescent="0.25">
      <c r="A697" s="850"/>
      <c r="B697" s="499"/>
      <c r="C697" s="490"/>
      <c r="D697" s="490"/>
      <c r="E697" s="323"/>
      <c r="F697" s="323"/>
      <c r="G697" s="812"/>
      <c r="H697" s="490"/>
      <c r="I697" s="812"/>
      <c r="J697" s="743"/>
      <c r="K697" s="490"/>
      <c r="L697" s="490"/>
    </row>
    <row r="698" spans="1:12" s="315" customFormat="1" x14ac:dyDescent="0.25">
      <c r="A698" s="850"/>
      <c r="B698" s="499"/>
      <c r="C698" s="490"/>
      <c r="D698" s="490"/>
      <c r="E698" s="323"/>
      <c r="F698" s="323"/>
      <c r="G698" s="812"/>
      <c r="H698" s="490"/>
      <c r="I698" s="812"/>
      <c r="J698" s="743"/>
      <c r="K698" s="490"/>
      <c r="L698" s="490"/>
    </row>
    <row r="699" spans="1:12" s="315" customFormat="1" x14ac:dyDescent="0.25">
      <c r="A699" s="850"/>
      <c r="B699" s="499"/>
      <c r="C699" s="490"/>
      <c r="D699" s="490"/>
      <c r="E699" s="323"/>
      <c r="F699" s="323"/>
      <c r="G699" s="812"/>
      <c r="H699" s="490"/>
      <c r="I699" s="812"/>
      <c r="J699" s="743"/>
      <c r="K699" s="490"/>
      <c r="L699" s="490"/>
    </row>
    <row r="700" spans="1:12" s="315" customFormat="1" x14ac:dyDescent="0.25">
      <c r="A700" s="850"/>
      <c r="B700" s="499"/>
      <c r="C700" s="490"/>
      <c r="D700" s="490"/>
      <c r="E700" s="323"/>
      <c r="F700" s="323"/>
      <c r="G700" s="812"/>
      <c r="H700" s="490"/>
      <c r="I700" s="812"/>
      <c r="J700" s="743"/>
      <c r="K700" s="490"/>
      <c r="L700" s="490"/>
    </row>
    <row r="701" spans="1:12" s="315" customFormat="1" x14ac:dyDescent="0.25">
      <c r="A701" s="850"/>
      <c r="B701" s="499"/>
      <c r="C701" s="490"/>
      <c r="D701" s="490"/>
      <c r="E701" s="323"/>
      <c r="F701" s="323"/>
      <c r="G701" s="812"/>
      <c r="H701" s="490"/>
      <c r="I701" s="812"/>
      <c r="J701" s="743"/>
      <c r="K701" s="490"/>
      <c r="L701" s="490"/>
    </row>
    <row r="702" spans="1:12" s="315" customFormat="1" x14ac:dyDescent="0.25">
      <c r="A702" s="850"/>
      <c r="B702" s="499"/>
      <c r="C702" s="490"/>
      <c r="D702" s="490"/>
      <c r="E702" s="323"/>
      <c r="F702" s="323"/>
      <c r="G702" s="812"/>
      <c r="H702" s="490"/>
      <c r="I702" s="812"/>
      <c r="J702" s="743"/>
      <c r="K702" s="490"/>
      <c r="L702" s="490"/>
    </row>
    <row r="703" spans="1:12" s="315" customFormat="1" x14ac:dyDescent="0.25">
      <c r="A703" s="850"/>
      <c r="B703" s="499"/>
      <c r="C703" s="490"/>
      <c r="D703" s="490"/>
      <c r="E703" s="323"/>
      <c r="F703" s="323"/>
      <c r="G703" s="812"/>
      <c r="H703" s="490"/>
      <c r="I703" s="812"/>
      <c r="J703" s="743"/>
      <c r="K703" s="490"/>
      <c r="L703" s="490"/>
    </row>
    <row r="704" spans="1:12" s="315" customFormat="1" x14ac:dyDescent="0.25">
      <c r="A704" s="850"/>
      <c r="B704" s="499"/>
      <c r="C704" s="490"/>
      <c r="D704" s="490"/>
      <c r="E704" s="323"/>
      <c r="F704" s="323"/>
      <c r="G704" s="812"/>
      <c r="H704" s="490"/>
      <c r="I704" s="812"/>
      <c r="J704" s="743"/>
      <c r="K704" s="490"/>
      <c r="L704" s="490"/>
    </row>
    <row r="705" spans="1:12" s="315" customFormat="1" x14ac:dyDescent="0.25">
      <c r="A705" s="850"/>
      <c r="B705" s="499"/>
      <c r="C705" s="490"/>
      <c r="D705" s="490"/>
      <c r="E705" s="323"/>
      <c r="F705" s="323"/>
      <c r="G705" s="812"/>
      <c r="H705" s="490"/>
      <c r="I705" s="812"/>
      <c r="J705" s="743"/>
      <c r="K705" s="490"/>
      <c r="L705" s="490"/>
    </row>
    <row r="706" spans="1:12" s="315" customFormat="1" x14ac:dyDescent="0.25">
      <c r="A706" s="850"/>
      <c r="B706" s="499"/>
      <c r="C706" s="490"/>
      <c r="D706" s="490"/>
      <c r="E706" s="323"/>
      <c r="F706" s="323"/>
      <c r="G706" s="812"/>
      <c r="H706" s="490"/>
      <c r="I706" s="812"/>
      <c r="J706" s="743"/>
      <c r="K706" s="490"/>
      <c r="L706" s="490"/>
    </row>
    <row r="707" spans="1:12" s="315" customFormat="1" x14ac:dyDescent="0.25">
      <c r="A707" s="850"/>
      <c r="B707" s="499"/>
      <c r="C707" s="490"/>
      <c r="D707" s="490"/>
      <c r="E707" s="323"/>
      <c r="F707" s="323"/>
      <c r="G707" s="812"/>
      <c r="H707" s="490"/>
      <c r="I707" s="812"/>
      <c r="J707" s="743"/>
      <c r="K707" s="490"/>
      <c r="L707" s="490"/>
    </row>
    <row r="708" spans="1:12" s="315" customFormat="1" x14ac:dyDescent="0.25">
      <c r="A708" s="850"/>
      <c r="B708" s="499"/>
      <c r="C708" s="490"/>
      <c r="D708" s="490"/>
      <c r="E708" s="323"/>
      <c r="F708" s="323"/>
      <c r="G708" s="812"/>
      <c r="H708" s="490"/>
      <c r="I708" s="812"/>
      <c r="J708" s="743"/>
      <c r="K708" s="490"/>
      <c r="L708" s="490"/>
    </row>
    <row r="709" spans="1:12" s="315" customFormat="1" x14ac:dyDescent="0.25">
      <c r="A709" s="850"/>
      <c r="B709" s="499"/>
      <c r="C709" s="490"/>
      <c r="D709" s="490"/>
      <c r="E709" s="323"/>
      <c r="F709" s="323"/>
      <c r="G709" s="812"/>
      <c r="H709" s="490"/>
      <c r="I709" s="812"/>
      <c r="J709" s="743"/>
      <c r="K709" s="490"/>
      <c r="L709" s="490"/>
    </row>
    <row r="710" spans="1:12" s="315" customFormat="1" x14ac:dyDescent="0.25">
      <c r="A710" s="850"/>
      <c r="B710" s="499"/>
      <c r="C710" s="490"/>
      <c r="D710" s="490"/>
      <c r="E710" s="323"/>
      <c r="F710" s="323"/>
      <c r="G710" s="812"/>
      <c r="H710" s="490"/>
      <c r="I710" s="812"/>
      <c r="J710" s="743"/>
      <c r="K710" s="490"/>
      <c r="L710" s="490"/>
    </row>
    <row r="711" spans="1:12" s="315" customFormat="1" x14ac:dyDescent="0.25">
      <c r="A711" s="850"/>
      <c r="B711" s="499"/>
      <c r="C711" s="490"/>
      <c r="D711" s="490"/>
      <c r="E711" s="323"/>
      <c r="F711" s="323"/>
      <c r="G711" s="812"/>
      <c r="H711" s="490"/>
      <c r="I711" s="812"/>
      <c r="J711" s="743"/>
      <c r="K711" s="490"/>
      <c r="L711" s="490"/>
    </row>
    <row r="712" spans="1:12" s="315" customFormat="1" x14ac:dyDescent="0.25">
      <c r="A712" s="850"/>
      <c r="B712" s="499"/>
      <c r="C712" s="490"/>
      <c r="D712" s="490"/>
      <c r="E712" s="323"/>
      <c r="F712" s="323"/>
      <c r="G712" s="812"/>
      <c r="H712" s="490"/>
      <c r="I712" s="812"/>
      <c r="J712" s="743"/>
      <c r="K712" s="490"/>
      <c r="L712" s="490"/>
    </row>
    <row r="713" spans="1:12" s="315" customFormat="1" x14ac:dyDescent="0.25">
      <c r="A713" s="850"/>
      <c r="B713" s="499"/>
      <c r="C713" s="490"/>
      <c r="D713" s="490"/>
      <c r="E713" s="323"/>
      <c r="F713" s="323"/>
      <c r="G713" s="812"/>
      <c r="H713" s="490"/>
      <c r="I713" s="812"/>
      <c r="J713" s="743"/>
      <c r="K713" s="490"/>
      <c r="L713" s="490"/>
    </row>
    <row r="714" spans="1:12" s="315" customFormat="1" x14ac:dyDescent="0.25">
      <c r="A714" s="850"/>
      <c r="B714" s="499"/>
      <c r="C714" s="490"/>
      <c r="D714" s="490"/>
      <c r="E714" s="323"/>
      <c r="F714" s="323"/>
      <c r="G714" s="812"/>
      <c r="H714" s="490"/>
      <c r="I714" s="812"/>
      <c r="J714" s="743"/>
      <c r="K714" s="490"/>
      <c r="L714" s="490"/>
    </row>
    <row r="715" spans="1:12" s="315" customFormat="1" x14ac:dyDescent="0.25">
      <c r="A715" s="850"/>
      <c r="B715" s="499"/>
      <c r="C715" s="490"/>
      <c r="D715" s="490"/>
      <c r="E715" s="323"/>
      <c r="F715" s="323"/>
      <c r="G715" s="812"/>
      <c r="H715" s="490"/>
      <c r="I715" s="812"/>
      <c r="J715" s="743"/>
      <c r="K715" s="490"/>
      <c r="L715" s="490"/>
    </row>
    <row r="716" spans="1:12" s="315" customFormat="1" x14ac:dyDescent="0.25">
      <c r="A716" s="850"/>
      <c r="B716" s="499"/>
      <c r="C716" s="490"/>
      <c r="D716" s="490"/>
      <c r="E716" s="323"/>
      <c r="F716" s="323"/>
      <c r="G716" s="812"/>
      <c r="H716" s="490"/>
      <c r="I716" s="812"/>
      <c r="J716" s="743"/>
      <c r="K716" s="490"/>
      <c r="L716" s="490"/>
    </row>
    <row r="717" spans="1:12" s="315" customFormat="1" x14ac:dyDescent="0.25">
      <c r="A717" s="850"/>
      <c r="B717" s="499"/>
      <c r="C717" s="490"/>
      <c r="D717" s="490"/>
      <c r="E717" s="323"/>
      <c r="F717" s="323"/>
      <c r="G717" s="812"/>
      <c r="H717" s="490"/>
      <c r="I717" s="812"/>
      <c r="J717" s="743"/>
      <c r="K717" s="490"/>
      <c r="L717" s="490"/>
    </row>
    <row r="718" spans="1:12" s="315" customFormat="1" x14ac:dyDescent="0.25">
      <c r="A718" s="850"/>
      <c r="B718" s="499"/>
      <c r="C718" s="490"/>
      <c r="D718" s="490"/>
      <c r="E718" s="323"/>
      <c r="F718" s="323"/>
      <c r="G718" s="812"/>
      <c r="H718" s="490"/>
      <c r="I718" s="812"/>
      <c r="J718" s="743"/>
      <c r="K718" s="490"/>
      <c r="L718" s="490"/>
    </row>
    <row r="719" spans="1:12" s="315" customFormat="1" x14ac:dyDescent="0.25">
      <c r="A719" s="850"/>
      <c r="B719" s="499"/>
      <c r="C719" s="490"/>
      <c r="D719" s="490"/>
      <c r="E719" s="323"/>
      <c r="F719" s="323"/>
      <c r="G719" s="812"/>
      <c r="H719" s="490"/>
      <c r="I719" s="812"/>
      <c r="J719" s="743"/>
      <c r="K719" s="490"/>
      <c r="L719" s="490"/>
    </row>
    <row r="720" spans="1:12" s="315" customFormat="1" x14ac:dyDescent="0.25">
      <c r="A720" s="850"/>
      <c r="B720" s="499"/>
      <c r="C720" s="490"/>
      <c r="D720" s="490"/>
      <c r="E720" s="323"/>
      <c r="F720" s="323"/>
      <c r="G720" s="812"/>
      <c r="H720" s="490"/>
      <c r="I720" s="812"/>
      <c r="J720" s="743"/>
      <c r="K720" s="490"/>
      <c r="L720" s="490"/>
    </row>
    <row r="721" spans="1:12" s="315" customFormat="1" x14ac:dyDescent="0.25">
      <c r="A721" s="850"/>
      <c r="B721" s="499"/>
      <c r="C721" s="490"/>
      <c r="D721" s="490"/>
      <c r="E721" s="323"/>
      <c r="F721" s="323"/>
      <c r="G721" s="812"/>
      <c r="H721" s="490"/>
      <c r="I721" s="812"/>
      <c r="J721" s="743"/>
      <c r="K721" s="490"/>
      <c r="L721" s="490"/>
    </row>
    <row r="722" spans="1:12" s="315" customFormat="1" x14ac:dyDescent="0.25">
      <c r="A722" s="850"/>
      <c r="B722" s="499"/>
      <c r="C722" s="490"/>
      <c r="D722" s="490"/>
      <c r="E722" s="323"/>
      <c r="F722" s="323"/>
      <c r="G722" s="812"/>
      <c r="H722" s="490"/>
      <c r="I722" s="812"/>
      <c r="J722" s="743"/>
      <c r="K722" s="490"/>
      <c r="L722" s="490"/>
    </row>
    <row r="723" spans="1:12" s="315" customFormat="1" x14ac:dyDescent="0.25">
      <c r="A723" s="850"/>
      <c r="B723" s="499"/>
      <c r="C723" s="490"/>
      <c r="D723" s="490"/>
      <c r="E723" s="323"/>
      <c r="F723" s="323"/>
      <c r="G723" s="812"/>
      <c r="H723" s="490"/>
      <c r="I723" s="812"/>
      <c r="J723" s="743"/>
      <c r="K723" s="490"/>
      <c r="L723" s="490"/>
    </row>
    <row r="724" spans="1:12" s="315" customFormat="1" x14ac:dyDescent="0.25">
      <c r="A724" s="850"/>
      <c r="B724" s="499"/>
      <c r="C724" s="490"/>
      <c r="D724" s="490"/>
      <c r="E724" s="323"/>
      <c r="F724" s="323"/>
      <c r="G724" s="812"/>
      <c r="H724" s="490"/>
      <c r="I724" s="812"/>
      <c r="J724" s="743"/>
      <c r="K724" s="490"/>
      <c r="L724" s="490"/>
    </row>
    <row r="725" spans="1:12" s="315" customFormat="1" x14ac:dyDescent="0.25">
      <c r="A725" s="850"/>
      <c r="B725" s="499"/>
      <c r="C725" s="490"/>
      <c r="D725" s="490"/>
      <c r="E725" s="323"/>
      <c r="F725" s="323"/>
      <c r="G725" s="812"/>
      <c r="H725" s="490"/>
      <c r="I725" s="812"/>
      <c r="J725" s="743"/>
      <c r="K725" s="490"/>
      <c r="L725" s="490"/>
    </row>
    <row r="726" spans="1:12" s="315" customFormat="1" x14ac:dyDescent="0.25">
      <c r="A726" s="850"/>
      <c r="B726" s="499"/>
      <c r="C726" s="490"/>
      <c r="D726" s="490"/>
      <c r="E726" s="323"/>
      <c r="F726" s="323"/>
      <c r="G726" s="812"/>
      <c r="H726" s="490"/>
      <c r="I726" s="812"/>
      <c r="J726" s="743"/>
      <c r="K726" s="490"/>
      <c r="L726" s="490"/>
    </row>
    <row r="727" spans="1:12" s="315" customFormat="1" x14ac:dyDescent="0.25">
      <c r="A727" s="850"/>
      <c r="B727" s="499"/>
      <c r="C727" s="490"/>
      <c r="D727" s="490"/>
      <c r="E727" s="323"/>
      <c r="F727" s="323"/>
      <c r="G727" s="812"/>
      <c r="H727" s="490"/>
      <c r="I727" s="812"/>
      <c r="J727" s="743"/>
      <c r="K727" s="490"/>
      <c r="L727" s="490"/>
    </row>
    <row r="728" spans="1:12" s="315" customFormat="1" x14ac:dyDescent="0.25">
      <c r="A728" s="850"/>
      <c r="B728" s="499"/>
      <c r="C728" s="490"/>
      <c r="D728" s="490"/>
      <c r="E728" s="323"/>
      <c r="F728" s="323"/>
      <c r="G728" s="812"/>
      <c r="H728" s="490"/>
      <c r="I728" s="812"/>
      <c r="J728" s="743"/>
      <c r="K728" s="490"/>
      <c r="L728" s="490"/>
    </row>
    <row r="729" spans="1:12" s="315" customFormat="1" x14ac:dyDescent="0.25">
      <c r="A729" s="850"/>
      <c r="B729" s="499"/>
      <c r="C729" s="490"/>
      <c r="D729" s="490"/>
      <c r="E729" s="323"/>
      <c r="F729" s="323"/>
      <c r="G729" s="812"/>
      <c r="H729" s="490"/>
      <c r="I729" s="812"/>
      <c r="J729" s="743"/>
      <c r="K729" s="490"/>
      <c r="L729" s="490"/>
    </row>
    <row r="730" spans="1:12" s="315" customFormat="1" x14ac:dyDescent="0.25">
      <c r="A730" s="850"/>
      <c r="B730" s="499"/>
      <c r="C730" s="490"/>
      <c r="D730" s="490"/>
      <c r="E730" s="323"/>
      <c r="F730" s="323"/>
      <c r="G730" s="812"/>
      <c r="H730" s="490"/>
      <c r="I730" s="812"/>
      <c r="J730" s="743"/>
      <c r="K730" s="490"/>
      <c r="L730" s="490"/>
    </row>
    <row r="731" spans="1:12" s="315" customFormat="1" x14ac:dyDescent="0.25">
      <c r="A731" s="850"/>
      <c r="B731" s="499"/>
      <c r="C731" s="490"/>
      <c r="D731" s="490"/>
      <c r="E731" s="323"/>
      <c r="F731" s="323"/>
      <c r="G731" s="812"/>
      <c r="H731" s="490"/>
      <c r="I731" s="812"/>
      <c r="J731" s="743"/>
      <c r="K731" s="490"/>
      <c r="L731" s="490"/>
    </row>
    <row r="732" spans="1:12" s="315" customFormat="1" x14ac:dyDescent="0.25">
      <c r="A732" s="850"/>
      <c r="B732" s="499"/>
      <c r="C732" s="490"/>
      <c r="D732" s="490"/>
      <c r="E732" s="323"/>
      <c r="F732" s="323"/>
      <c r="G732" s="812"/>
      <c r="H732" s="490"/>
      <c r="I732" s="812"/>
      <c r="J732" s="743"/>
      <c r="K732" s="490"/>
      <c r="L732" s="490"/>
    </row>
    <row r="733" spans="1:12" s="315" customFormat="1" x14ac:dyDescent="0.25">
      <c r="A733" s="850"/>
      <c r="B733" s="499"/>
      <c r="C733" s="490"/>
      <c r="D733" s="490"/>
      <c r="E733" s="323"/>
      <c r="F733" s="323"/>
      <c r="G733" s="812"/>
      <c r="H733" s="490"/>
      <c r="I733" s="812"/>
      <c r="J733" s="743"/>
      <c r="K733" s="490"/>
      <c r="L733" s="490"/>
    </row>
    <row r="734" spans="1:12" s="315" customFormat="1" x14ac:dyDescent="0.25">
      <c r="A734" s="850"/>
      <c r="B734" s="499"/>
      <c r="C734" s="490"/>
      <c r="D734" s="490"/>
      <c r="E734" s="323"/>
      <c r="F734" s="323"/>
      <c r="G734" s="812"/>
      <c r="H734" s="490"/>
      <c r="I734" s="812"/>
      <c r="J734" s="743"/>
      <c r="K734" s="490"/>
      <c r="L734" s="490"/>
    </row>
    <row r="735" spans="1:12" s="315" customFormat="1" x14ac:dyDescent="0.25">
      <c r="A735" s="850"/>
      <c r="B735" s="499"/>
      <c r="C735" s="490"/>
      <c r="D735" s="490"/>
      <c r="E735" s="323"/>
      <c r="F735" s="323"/>
      <c r="G735" s="812"/>
      <c r="H735" s="490"/>
      <c r="I735" s="812"/>
      <c r="J735" s="743"/>
      <c r="K735" s="490"/>
      <c r="L735" s="490"/>
    </row>
    <row r="736" spans="1:12" s="315" customFormat="1" x14ac:dyDescent="0.25">
      <c r="A736" s="850"/>
      <c r="B736" s="499"/>
      <c r="C736" s="490"/>
      <c r="D736" s="490"/>
      <c r="E736" s="323"/>
      <c r="F736" s="323"/>
      <c r="G736" s="812"/>
      <c r="H736" s="490"/>
      <c r="I736" s="812"/>
      <c r="J736" s="743"/>
      <c r="K736" s="490"/>
      <c r="L736" s="490"/>
    </row>
    <row r="737" spans="1:12" s="315" customFormat="1" x14ac:dyDescent="0.25">
      <c r="A737" s="850"/>
      <c r="B737" s="499"/>
      <c r="C737" s="490"/>
      <c r="D737" s="490"/>
      <c r="E737" s="323"/>
      <c r="F737" s="323"/>
      <c r="G737" s="812"/>
      <c r="H737" s="490"/>
      <c r="I737" s="812"/>
      <c r="J737" s="743"/>
      <c r="K737" s="490"/>
      <c r="L737" s="490"/>
    </row>
    <row r="738" spans="1:12" s="315" customFormat="1" x14ac:dyDescent="0.25">
      <c r="A738" s="850"/>
      <c r="B738" s="499"/>
      <c r="C738" s="490"/>
      <c r="D738" s="490"/>
      <c r="E738" s="323"/>
      <c r="F738" s="323"/>
      <c r="G738" s="812"/>
      <c r="H738" s="490"/>
      <c r="I738" s="812"/>
      <c r="J738" s="743"/>
      <c r="K738" s="490"/>
      <c r="L738" s="490"/>
    </row>
    <row r="739" spans="1:12" s="315" customFormat="1" x14ac:dyDescent="0.25">
      <c r="A739" s="850"/>
      <c r="B739" s="499"/>
      <c r="C739" s="490"/>
      <c r="D739" s="490"/>
      <c r="E739" s="323"/>
      <c r="F739" s="323"/>
      <c r="G739" s="812"/>
      <c r="H739" s="490"/>
      <c r="I739" s="812"/>
      <c r="J739" s="743"/>
      <c r="K739" s="490"/>
      <c r="L739" s="490"/>
    </row>
    <row r="740" spans="1:12" s="315" customFormat="1" x14ac:dyDescent="0.25">
      <c r="A740" s="850"/>
      <c r="B740" s="499"/>
      <c r="C740" s="490"/>
      <c r="D740" s="490"/>
      <c r="E740" s="323"/>
      <c r="F740" s="323"/>
      <c r="G740" s="812"/>
      <c r="H740" s="490"/>
      <c r="I740" s="812"/>
      <c r="J740" s="743"/>
      <c r="K740" s="490"/>
      <c r="L740" s="490"/>
    </row>
    <row r="741" spans="1:12" s="315" customFormat="1" x14ac:dyDescent="0.25">
      <c r="A741" s="850"/>
      <c r="B741" s="499"/>
      <c r="C741" s="490"/>
      <c r="D741" s="490"/>
      <c r="E741" s="323"/>
      <c r="F741" s="323"/>
      <c r="G741" s="812"/>
      <c r="H741" s="490"/>
      <c r="I741" s="812"/>
      <c r="J741" s="743"/>
      <c r="K741" s="490"/>
      <c r="L741" s="490"/>
    </row>
    <row r="742" spans="1:12" s="315" customFormat="1" x14ac:dyDescent="0.25">
      <c r="A742" s="850"/>
      <c r="B742" s="499"/>
      <c r="C742" s="490"/>
      <c r="D742" s="490"/>
      <c r="E742" s="323"/>
      <c r="F742" s="323"/>
      <c r="G742" s="812"/>
      <c r="H742" s="490"/>
      <c r="I742" s="812"/>
      <c r="J742" s="743"/>
      <c r="K742" s="490"/>
      <c r="L742" s="490"/>
    </row>
    <row r="743" spans="1:12" s="315" customFormat="1" x14ac:dyDescent="0.25">
      <c r="A743" s="850"/>
      <c r="B743" s="499"/>
      <c r="C743" s="490"/>
      <c r="D743" s="490"/>
      <c r="E743" s="323"/>
      <c r="F743" s="323"/>
      <c r="G743" s="812"/>
      <c r="H743" s="490"/>
      <c r="I743" s="812"/>
      <c r="J743" s="743"/>
      <c r="K743" s="490"/>
      <c r="L743" s="490"/>
    </row>
    <row r="744" spans="1:12" s="315" customFormat="1" x14ac:dyDescent="0.25">
      <c r="A744" s="850"/>
      <c r="B744" s="499"/>
      <c r="C744" s="490"/>
      <c r="D744" s="490"/>
      <c r="E744" s="323"/>
      <c r="F744" s="323"/>
      <c r="G744" s="812"/>
      <c r="H744" s="490"/>
      <c r="I744" s="812"/>
      <c r="J744" s="743"/>
      <c r="K744" s="490"/>
      <c r="L744" s="490"/>
    </row>
    <row r="745" spans="1:12" s="315" customFormat="1" x14ac:dyDescent="0.25">
      <c r="A745" s="850"/>
      <c r="B745" s="499"/>
      <c r="C745" s="490"/>
      <c r="D745" s="490"/>
      <c r="E745" s="323"/>
      <c r="F745" s="323"/>
      <c r="G745" s="812"/>
      <c r="H745" s="490"/>
      <c r="I745" s="812"/>
      <c r="J745" s="743"/>
      <c r="K745" s="490"/>
      <c r="L745" s="490"/>
    </row>
    <row r="746" spans="1:12" s="315" customFormat="1" x14ac:dyDescent="0.25">
      <c r="A746" s="850"/>
      <c r="B746" s="499"/>
      <c r="C746" s="490"/>
      <c r="D746" s="490"/>
      <c r="E746" s="323"/>
      <c r="F746" s="323"/>
      <c r="G746" s="812"/>
      <c r="H746" s="490"/>
      <c r="I746" s="812"/>
      <c r="J746" s="743"/>
      <c r="K746" s="490"/>
      <c r="L746" s="490"/>
    </row>
    <row r="747" spans="1:12" s="315" customFormat="1" x14ac:dyDescent="0.25">
      <c r="A747" s="850"/>
      <c r="B747" s="499"/>
      <c r="C747" s="490"/>
      <c r="D747" s="490"/>
      <c r="E747" s="323"/>
      <c r="F747" s="323"/>
      <c r="G747" s="812"/>
      <c r="H747" s="490"/>
      <c r="I747" s="812"/>
      <c r="J747" s="743"/>
      <c r="K747" s="490"/>
      <c r="L747" s="490"/>
    </row>
    <row r="748" spans="1:12" s="315" customFormat="1" x14ac:dyDescent="0.25">
      <c r="A748" s="850"/>
      <c r="B748" s="499"/>
      <c r="C748" s="490"/>
      <c r="D748" s="490"/>
      <c r="E748" s="323"/>
      <c r="F748" s="323"/>
      <c r="G748" s="812"/>
      <c r="H748" s="490"/>
      <c r="I748" s="812"/>
      <c r="J748" s="743"/>
      <c r="K748" s="490"/>
      <c r="L748" s="490"/>
    </row>
    <row r="749" spans="1:12" s="315" customFormat="1" x14ac:dyDescent="0.25">
      <c r="A749" s="850"/>
      <c r="B749" s="499"/>
      <c r="C749" s="490"/>
      <c r="D749" s="490"/>
      <c r="E749" s="323"/>
      <c r="F749" s="323"/>
      <c r="G749" s="812"/>
      <c r="H749" s="490"/>
      <c r="I749" s="812"/>
      <c r="J749" s="743"/>
      <c r="K749" s="490"/>
      <c r="L749" s="490"/>
    </row>
    <row r="750" spans="1:12" s="315" customFormat="1" x14ac:dyDescent="0.25">
      <c r="A750" s="850"/>
      <c r="B750" s="499"/>
      <c r="C750" s="490"/>
      <c r="D750" s="490"/>
      <c r="E750" s="323"/>
      <c r="F750" s="323"/>
      <c r="G750" s="812"/>
      <c r="H750" s="490"/>
      <c r="I750" s="812"/>
      <c r="J750" s="743"/>
      <c r="K750" s="490"/>
      <c r="L750" s="490"/>
    </row>
    <row r="751" spans="1:12" s="315" customFormat="1" x14ac:dyDescent="0.25">
      <c r="A751" s="850"/>
      <c r="B751" s="499"/>
      <c r="C751" s="490"/>
      <c r="D751" s="490"/>
      <c r="E751" s="323"/>
      <c r="F751" s="323"/>
      <c r="G751" s="812"/>
      <c r="H751" s="490"/>
      <c r="I751" s="812"/>
      <c r="J751" s="743"/>
      <c r="K751" s="490"/>
      <c r="L751" s="490"/>
    </row>
    <row r="752" spans="1:12" s="315" customFormat="1" x14ac:dyDescent="0.25">
      <c r="A752" s="850"/>
      <c r="B752" s="499"/>
      <c r="C752" s="490"/>
      <c r="D752" s="490"/>
      <c r="E752" s="323"/>
      <c r="F752" s="323"/>
      <c r="G752" s="812"/>
      <c r="H752" s="490"/>
      <c r="I752" s="812"/>
      <c r="J752" s="743"/>
      <c r="K752" s="490"/>
      <c r="L752" s="490"/>
    </row>
    <row r="753" spans="1:12" s="315" customFormat="1" x14ac:dyDescent="0.25">
      <c r="A753" s="850"/>
      <c r="B753" s="499"/>
      <c r="C753" s="490"/>
      <c r="D753" s="490"/>
      <c r="E753" s="323"/>
      <c r="F753" s="323"/>
      <c r="G753" s="812"/>
      <c r="H753" s="490"/>
      <c r="I753" s="812"/>
      <c r="J753" s="743"/>
      <c r="K753" s="490"/>
      <c r="L753" s="490"/>
    </row>
    <row r="754" spans="1:12" s="315" customFormat="1" x14ac:dyDescent="0.25">
      <c r="A754" s="850"/>
      <c r="B754" s="499"/>
      <c r="C754" s="490"/>
      <c r="D754" s="490"/>
      <c r="E754" s="323"/>
      <c r="F754" s="323"/>
      <c r="G754" s="812"/>
      <c r="H754" s="490"/>
      <c r="I754" s="812"/>
      <c r="J754" s="743"/>
      <c r="K754" s="490"/>
      <c r="L754" s="490"/>
    </row>
    <row r="755" spans="1:12" s="315" customFormat="1" x14ac:dyDescent="0.25">
      <c r="A755" s="850"/>
      <c r="B755" s="499"/>
      <c r="C755" s="490"/>
      <c r="D755" s="490"/>
      <c r="E755" s="323"/>
      <c r="F755" s="323"/>
      <c r="G755" s="812"/>
      <c r="H755" s="490"/>
      <c r="I755" s="812"/>
      <c r="J755" s="743"/>
      <c r="K755" s="490"/>
      <c r="L755" s="490"/>
    </row>
    <row r="756" spans="1:12" s="315" customFormat="1" x14ac:dyDescent="0.25">
      <c r="A756" s="850"/>
      <c r="B756" s="499"/>
      <c r="C756" s="490"/>
      <c r="D756" s="490"/>
      <c r="E756" s="323"/>
      <c r="F756" s="323"/>
      <c r="G756" s="812"/>
      <c r="H756" s="490"/>
      <c r="I756" s="812"/>
      <c r="J756" s="743"/>
      <c r="K756" s="490"/>
      <c r="L756" s="490"/>
    </row>
    <row r="757" spans="1:12" s="315" customFormat="1" x14ac:dyDescent="0.25">
      <c r="A757" s="850"/>
      <c r="B757" s="499"/>
      <c r="C757" s="490"/>
      <c r="D757" s="490"/>
      <c r="E757" s="323"/>
      <c r="F757" s="323"/>
      <c r="G757" s="812"/>
      <c r="H757" s="490"/>
      <c r="I757" s="812"/>
      <c r="J757" s="743"/>
      <c r="K757" s="490"/>
      <c r="L757" s="490"/>
    </row>
    <row r="758" spans="1:12" s="315" customFormat="1" x14ac:dyDescent="0.25">
      <c r="A758" s="850"/>
      <c r="B758" s="499"/>
      <c r="C758" s="490"/>
      <c r="D758" s="490"/>
      <c r="E758" s="323"/>
      <c r="F758" s="323"/>
      <c r="G758" s="812"/>
      <c r="H758" s="490"/>
      <c r="I758" s="812"/>
      <c r="J758" s="743"/>
      <c r="K758" s="490"/>
      <c r="L758" s="490"/>
    </row>
    <row r="759" spans="1:12" s="315" customFormat="1" x14ac:dyDescent="0.25">
      <c r="A759" s="850"/>
      <c r="B759" s="499"/>
      <c r="C759" s="490"/>
      <c r="D759" s="490"/>
      <c r="E759" s="323"/>
      <c r="F759" s="323"/>
      <c r="G759" s="812"/>
      <c r="H759" s="490"/>
      <c r="I759" s="812"/>
      <c r="J759" s="743"/>
      <c r="K759" s="490"/>
      <c r="L759" s="490"/>
    </row>
    <row r="760" spans="1:12" s="315" customFormat="1" x14ac:dyDescent="0.25">
      <c r="A760" s="850"/>
      <c r="B760" s="499"/>
      <c r="C760" s="490"/>
      <c r="D760" s="490"/>
      <c r="E760" s="323"/>
      <c r="F760" s="323"/>
      <c r="G760" s="812"/>
      <c r="H760" s="490"/>
      <c r="I760" s="812"/>
      <c r="J760" s="743"/>
      <c r="K760" s="490"/>
      <c r="L760" s="490"/>
    </row>
    <row r="761" spans="1:12" s="315" customFormat="1" x14ac:dyDescent="0.25">
      <c r="A761" s="850"/>
      <c r="B761" s="499"/>
      <c r="C761" s="490"/>
      <c r="D761" s="490"/>
      <c r="E761" s="323"/>
      <c r="F761" s="323"/>
      <c r="G761" s="812"/>
      <c r="H761" s="490"/>
      <c r="I761" s="812"/>
      <c r="J761" s="743"/>
      <c r="K761" s="490"/>
      <c r="L761" s="490"/>
    </row>
    <row r="762" spans="1:12" s="315" customFormat="1" x14ac:dyDescent="0.25">
      <c r="A762" s="850"/>
      <c r="B762" s="499"/>
      <c r="C762" s="490"/>
      <c r="D762" s="490"/>
      <c r="E762" s="323"/>
      <c r="F762" s="323"/>
      <c r="G762" s="812"/>
      <c r="H762" s="490"/>
      <c r="I762" s="812"/>
      <c r="J762" s="743"/>
      <c r="K762" s="490"/>
      <c r="L762" s="490"/>
    </row>
    <row r="763" spans="1:12" s="315" customFormat="1" x14ac:dyDescent="0.25">
      <c r="A763" s="850"/>
      <c r="B763" s="499"/>
      <c r="C763" s="490"/>
      <c r="D763" s="490"/>
      <c r="E763" s="323"/>
      <c r="F763" s="323"/>
      <c r="G763" s="812"/>
      <c r="H763" s="490"/>
      <c r="I763" s="812"/>
      <c r="J763" s="743"/>
      <c r="K763" s="490"/>
      <c r="L763" s="490"/>
    </row>
    <row r="764" spans="1:12" s="315" customFormat="1" x14ac:dyDescent="0.25">
      <c r="A764" s="850"/>
      <c r="B764" s="499"/>
      <c r="C764" s="490"/>
      <c r="D764" s="490"/>
      <c r="E764" s="323"/>
      <c r="F764" s="323"/>
      <c r="G764" s="812"/>
      <c r="H764" s="490"/>
      <c r="I764" s="812"/>
      <c r="J764" s="743"/>
      <c r="K764" s="490"/>
      <c r="L764" s="490"/>
    </row>
    <row r="765" spans="1:12" s="315" customFormat="1" x14ac:dyDescent="0.25">
      <c r="A765" s="850"/>
      <c r="B765" s="499"/>
      <c r="C765" s="490"/>
      <c r="D765" s="490"/>
      <c r="E765" s="323"/>
      <c r="F765" s="323"/>
      <c r="G765" s="812"/>
      <c r="H765" s="490"/>
      <c r="I765" s="812"/>
      <c r="J765" s="743"/>
      <c r="K765" s="490"/>
      <c r="L765" s="490"/>
    </row>
    <row r="766" spans="1:12" s="315" customFormat="1" x14ac:dyDescent="0.25">
      <c r="A766" s="850"/>
      <c r="B766" s="499"/>
      <c r="C766" s="490"/>
      <c r="D766" s="490"/>
      <c r="E766" s="323"/>
      <c r="F766" s="323"/>
      <c r="G766" s="812"/>
      <c r="H766" s="490"/>
      <c r="I766" s="812"/>
      <c r="J766" s="743"/>
      <c r="K766" s="490"/>
      <c r="L766" s="490"/>
    </row>
    <row r="767" spans="1:12" s="315" customFormat="1" x14ac:dyDescent="0.25">
      <c r="A767" s="850"/>
      <c r="B767" s="499"/>
      <c r="C767" s="490"/>
      <c r="D767" s="490"/>
      <c r="E767" s="323"/>
      <c r="F767" s="323"/>
      <c r="G767" s="812"/>
      <c r="H767" s="490"/>
      <c r="I767" s="812"/>
      <c r="J767" s="743"/>
      <c r="K767" s="490"/>
      <c r="L767" s="490"/>
    </row>
    <row r="768" spans="1:12" s="315" customFormat="1" x14ac:dyDescent="0.25">
      <c r="A768" s="850"/>
      <c r="B768" s="499"/>
      <c r="C768" s="490"/>
      <c r="D768" s="490"/>
      <c r="E768" s="323"/>
      <c r="F768" s="323"/>
      <c r="G768" s="812"/>
      <c r="H768" s="490"/>
      <c r="I768" s="812"/>
      <c r="J768" s="743"/>
      <c r="K768" s="490"/>
      <c r="L768" s="490"/>
    </row>
    <row r="769" spans="1:12" s="315" customFormat="1" x14ac:dyDescent="0.25">
      <c r="A769" s="850"/>
      <c r="B769" s="499"/>
      <c r="C769" s="490"/>
      <c r="D769" s="490"/>
      <c r="E769" s="323"/>
      <c r="F769" s="323"/>
      <c r="G769" s="812"/>
      <c r="H769" s="490"/>
      <c r="I769" s="812"/>
      <c r="J769" s="743"/>
      <c r="K769" s="490"/>
      <c r="L769" s="490"/>
    </row>
    <row r="770" spans="1:12" s="315" customFormat="1" x14ac:dyDescent="0.25">
      <c r="A770" s="850"/>
      <c r="B770" s="499"/>
      <c r="C770" s="490"/>
      <c r="D770" s="490"/>
      <c r="E770" s="323"/>
      <c r="F770" s="323"/>
      <c r="G770" s="812"/>
      <c r="H770" s="490"/>
      <c r="I770" s="812"/>
      <c r="J770" s="743"/>
      <c r="K770" s="490"/>
      <c r="L770" s="490"/>
    </row>
    <row r="771" spans="1:12" s="315" customFormat="1" x14ac:dyDescent="0.25">
      <c r="A771" s="850"/>
      <c r="B771" s="499"/>
      <c r="C771" s="490"/>
      <c r="D771" s="490"/>
      <c r="E771" s="323"/>
      <c r="F771" s="323"/>
      <c r="G771" s="812"/>
      <c r="H771" s="490"/>
      <c r="I771" s="812"/>
      <c r="J771" s="743"/>
      <c r="K771" s="490"/>
      <c r="L771" s="490"/>
    </row>
    <row r="772" spans="1:12" s="315" customFormat="1" x14ac:dyDescent="0.25">
      <c r="A772" s="850"/>
      <c r="B772" s="499"/>
      <c r="C772" s="490"/>
      <c r="D772" s="490"/>
      <c r="E772" s="323"/>
      <c r="F772" s="323"/>
      <c r="G772" s="812"/>
      <c r="H772" s="490"/>
      <c r="I772" s="812"/>
      <c r="J772" s="743"/>
      <c r="K772" s="490"/>
      <c r="L772" s="490"/>
    </row>
    <row r="773" spans="1:12" s="315" customFormat="1" x14ac:dyDescent="0.25">
      <c r="A773" s="850"/>
      <c r="B773" s="499"/>
      <c r="C773" s="490"/>
      <c r="D773" s="490"/>
      <c r="E773" s="323"/>
      <c r="F773" s="323"/>
      <c r="G773" s="812"/>
      <c r="H773" s="490"/>
      <c r="I773" s="812"/>
      <c r="J773" s="743"/>
      <c r="K773" s="490"/>
      <c r="L773" s="490"/>
    </row>
    <row r="774" spans="1:12" s="315" customFormat="1" x14ac:dyDescent="0.25">
      <c r="A774" s="850"/>
      <c r="B774" s="499"/>
      <c r="C774" s="490"/>
      <c r="D774" s="490"/>
      <c r="E774" s="323"/>
      <c r="F774" s="323"/>
      <c r="G774" s="812"/>
      <c r="H774" s="490"/>
      <c r="I774" s="812"/>
      <c r="J774" s="743"/>
      <c r="K774" s="490"/>
      <c r="L774" s="490"/>
    </row>
    <row r="775" spans="1:12" s="315" customFormat="1" x14ac:dyDescent="0.25">
      <c r="A775" s="850"/>
      <c r="B775" s="499"/>
      <c r="C775" s="490"/>
      <c r="D775" s="490"/>
      <c r="E775" s="323"/>
      <c r="F775" s="323"/>
      <c r="G775" s="812"/>
      <c r="H775" s="490"/>
      <c r="I775" s="812"/>
      <c r="J775" s="743"/>
      <c r="K775" s="490"/>
      <c r="L775" s="490"/>
    </row>
    <row r="776" spans="1:12" s="315" customFormat="1" x14ac:dyDescent="0.25">
      <c r="A776" s="850"/>
      <c r="B776" s="499"/>
      <c r="C776" s="490"/>
      <c r="D776" s="490"/>
      <c r="E776" s="323"/>
      <c r="F776" s="323"/>
      <c r="G776" s="812"/>
      <c r="H776" s="490"/>
      <c r="I776" s="812"/>
      <c r="J776" s="743"/>
      <c r="K776" s="490"/>
      <c r="L776" s="490"/>
    </row>
    <row r="777" spans="1:12" s="315" customFormat="1" x14ac:dyDescent="0.25">
      <c r="A777" s="850"/>
      <c r="B777" s="499"/>
      <c r="C777" s="490"/>
      <c r="D777" s="490"/>
      <c r="E777" s="323"/>
      <c r="F777" s="323"/>
      <c r="G777" s="812"/>
      <c r="H777" s="490"/>
      <c r="I777" s="812"/>
      <c r="J777" s="743"/>
      <c r="K777" s="490"/>
      <c r="L777" s="490"/>
    </row>
    <row r="778" spans="1:12" s="315" customFormat="1" x14ac:dyDescent="0.25">
      <c r="A778" s="850"/>
      <c r="B778" s="499"/>
      <c r="C778" s="490"/>
      <c r="D778" s="490"/>
      <c r="E778" s="323"/>
      <c r="F778" s="323"/>
      <c r="G778" s="812"/>
      <c r="H778" s="490"/>
      <c r="I778" s="812"/>
      <c r="J778" s="743"/>
      <c r="K778" s="490"/>
      <c r="L778" s="490"/>
    </row>
    <row r="779" spans="1:12" s="315" customFormat="1" x14ac:dyDescent="0.25">
      <c r="A779" s="850"/>
      <c r="B779" s="499"/>
      <c r="C779" s="490"/>
      <c r="D779" s="490"/>
      <c r="E779" s="323"/>
      <c r="F779" s="323"/>
      <c r="G779" s="812"/>
      <c r="H779" s="490"/>
      <c r="I779" s="812"/>
      <c r="J779" s="743"/>
      <c r="K779" s="490"/>
      <c r="L779" s="490"/>
    </row>
    <row r="780" spans="1:12" s="315" customFormat="1" x14ac:dyDescent="0.25">
      <c r="A780" s="850"/>
      <c r="B780" s="499"/>
      <c r="C780" s="490"/>
      <c r="D780" s="490"/>
      <c r="E780" s="323"/>
      <c r="F780" s="323"/>
      <c r="G780" s="812"/>
      <c r="H780" s="490"/>
      <c r="I780" s="812"/>
      <c r="J780" s="743"/>
      <c r="K780" s="490"/>
      <c r="L780" s="490"/>
    </row>
    <row r="781" spans="1:12" s="315" customFormat="1" x14ac:dyDescent="0.25">
      <c r="A781" s="850"/>
      <c r="B781" s="499"/>
      <c r="C781" s="490"/>
      <c r="D781" s="490"/>
      <c r="E781" s="323"/>
      <c r="F781" s="323"/>
      <c r="G781" s="812"/>
      <c r="H781" s="490"/>
      <c r="I781" s="812"/>
      <c r="J781" s="743"/>
      <c r="K781" s="490"/>
      <c r="L781" s="490"/>
    </row>
    <row r="782" spans="1:12" s="315" customFormat="1" x14ac:dyDescent="0.25">
      <c r="A782" s="850"/>
      <c r="B782" s="499"/>
      <c r="C782" s="490"/>
      <c r="D782" s="490"/>
      <c r="E782" s="323"/>
      <c r="F782" s="323"/>
      <c r="G782" s="812"/>
      <c r="H782" s="490"/>
      <c r="I782" s="812"/>
      <c r="J782" s="743"/>
      <c r="K782" s="490"/>
      <c r="L782" s="490"/>
    </row>
    <row r="783" spans="1:12" s="315" customFormat="1" x14ac:dyDescent="0.25">
      <c r="A783" s="850"/>
      <c r="B783" s="499"/>
      <c r="C783" s="490"/>
      <c r="D783" s="490"/>
      <c r="E783" s="323"/>
      <c r="F783" s="323"/>
      <c r="G783" s="812"/>
      <c r="H783" s="490"/>
      <c r="I783" s="812"/>
      <c r="J783" s="743"/>
      <c r="K783" s="490"/>
      <c r="L783" s="490"/>
    </row>
    <row r="784" spans="1:12" s="315" customFormat="1" x14ac:dyDescent="0.25">
      <c r="A784" s="850"/>
      <c r="B784" s="499"/>
      <c r="C784" s="490"/>
      <c r="D784" s="490"/>
      <c r="E784" s="323"/>
      <c r="F784" s="323"/>
      <c r="G784" s="812"/>
      <c r="H784" s="490"/>
      <c r="I784" s="812"/>
      <c r="J784" s="743"/>
      <c r="K784" s="490"/>
      <c r="L784" s="490"/>
    </row>
    <row r="785" spans="1:12" s="315" customFormat="1" x14ac:dyDescent="0.25">
      <c r="A785" s="850"/>
      <c r="B785" s="499"/>
      <c r="C785" s="490"/>
      <c r="D785" s="490"/>
      <c r="E785" s="323"/>
      <c r="F785" s="323"/>
      <c r="G785" s="812"/>
      <c r="H785" s="490"/>
      <c r="I785" s="812"/>
      <c r="J785" s="743"/>
      <c r="K785" s="490"/>
      <c r="L785" s="490"/>
    </row>
    <row r="786" spans="1:12" s="315" customFormat="1" x14ac:dyDescent="0.25">
      <c r="A786" s="850"/>
      <c r="B786" s="499"/>
      <c r="C786" s="490"/>
      <c r="D786" s="490"/>
      <c r="E786" s="323"/>
      <c r="F786" s="323"/>
      <c r="G786" s="812"/>
      <c r="H786" s="490"/>
      <c r="I786" s="812"/>
      <c r="J786" s="743"/>
      <c r="K786" s="490"/>
      <c r="L786" s="490"/>
    </row>
    <row r="787" spans="1:12" s="315" customFormat="1" x14ac:dyDescent="0.25">
      <c r="A787" s="850"/>
      <c r="B787" s="499"/>
      <c r="C787" s="490"/>
      <c r="D787" s="490"/>
      <c r="E787" s="323"/>
      <c r="F787" s="323"/>
      <c r="G787" s="812"/>
      <c r="H787" s="490"/>
      <c r="I787" s="812"/>
      <c r="J787" s="743"/>
      <c r="K787" s="490"/>
      <c r="L787" s="490"/>
    </row>
    <row r="788" spans="1:12" s="315" customFormat="1" x14ac:dyDescent="0.25">
      <c r="A788" s="850"/>
      <c r="B788" s="499"/>
      <c r="C788" s="490"/>
      <c r="D788" s="490"/>
      <c r="E788" s="323"/>
      <c r="F788" s="323"/>
      <c r="G788" s="812"/>
      <c r="H788" s="490"/>
      <c r="I788" s="812"/>
      <c r="J788" s="743"/>
      <c r="K788" s="490"/>
      <c r="L788" s="490"/>
    </row>
    <row r="789" spans="1:12" s="315" customFormat="1" x14ac:dyDescent="0.25">
      <c r="A789" s="850"/>
      <c r="B789" s="499"/>
      <c r="C789" s="490"/>
      <c r="D789" s="490"/>
      <c r="E789" s="323"/>
      <c r="F789" s="323"/>
      <c r="G789" s="812"/>
      <c r="H789" s="490"/>
      <c r="I789" s="812"/>
      <c r="J789" s="743"/>
      <c r="K789" s="490"/>
      <c r="L789" s="490"/>
    </row>
    <row r="790" spans="1:12" s="315" customFormat="1" x14ac:dyDescent="0.25">
      <c r="A790" s="850"/>
      <c r="B790" s="499"/>
      <c r="C790" s="490"/>
      <c r="D790" s="490"/>
      <c r="E790" s="323"/>
      <c r="F790" s="323"/>
      <c r="G790" s="812"/>
      <c r="H790" s="490"/>
      <c r="I790" s="812"/>
      <c r="J790" s="743"/>
      <c r="K790" s="490"/>
      <c r="L790" s="490"/>
    </row>
    <row r="791" spans="1:12" s="315" customFormat="1" x14ac:dyDescent="0.25">
      <c r="A791" s="850"/>
      <c r="B791" s="499"/>
      <c r="C791" s="490"/>
      <c r="D791" s="490"/>
      <c r="E791" s="323"/>
      <c r="F791" s="323"/>
      <c r="G791" s="812"/>
      <c r="H791" s="490"/>
      <c r="I791" s="812"/>
      <c r="J791" s="743"/>
      <c r="K791" s="490"/>
      <c r="L791" s="490"/>
    </row>
    <row r="792" spans="1:12" s="315" customFormat="1" x14ac:dyDescent="0.25">
      <c r="A792" s="850"/>
      <c r="B792" s="499"/>
      <c r="C792" s="490"/>
      <c r="D792" s="490"/>
      <c r="E792" s="323"/>
      <c r="F792" s="323"/>
      <c r="G792" s="812"/>
      <c r="H792" s="490"/>
      <c r="I792" s="812"/>
      <c r="J792" s="743"/>
      <c r="K792" s="490"/>
      <c r="L792" s="490"/>
    </row>
    <row r="793" spans="1:12" s="315" customFormat="1" x14ac:dyDescent="0.25">
      <c r="A793" s="850"/>
      <c r="B793" s="499"/>
      <c r="C793" s="490"/>
      <c r="D793" s="490"/>
      <c r="E793" s="323"/>
      <c r="F793" s="323"/>
      <c r="G793" s="812"/>
      <c r="H793" s="490"/>
      <c r="I793" s="812"/>
      <c r="J793" s="743"/>
      <c r="K793" s="490"/>
      <c r="L793" s="490"/>
    </row>
    <row r="794" spans="1:12" s="315" customFormat="1" x14ac:dyDescent="0.25">
      <c r="A794" s="850"/>
      <c r="B794" s="499"/>
      <c r="C794" s="490"/>
      <c r="D794" s="490"/>
      <c r="E794" s="323"/>
      <c r="F794" s="323"/>
      <c r="G794" s="812"/>
      <c r="H794" s="490"/>
      <c r="I794" s="812"/>
      <c r="J794" s="743"/>
      <c r="K794" s="490"/>
      <c r="L794" s="490"/>
    </row>
    <row r="795" spans="1:12" s="315" customFormat="1" x14ac:dyDescent="0.25">
      <c r="A795" s="850"/>
      <c r="B795" s="499"/>
      <c r="C795" s="490"/>
      <c r="D795" s="490"/>
      <c r="E795" s="323"/>
      <c r="F795" s="323"/>
      <c r="G795" s="812"/>
      <c r="H795" s="490"/>
      <c r="I795" s="812"/>
      <c r="J795" s="743"/>
      <c r="K795" s="490"/>
      <c r="L795" s="490"/>
    </row>
    <row r="796" spans="1:12" s="315" customFormat="1" x14ac:dyDescent="0.25">
      <c r="A796" s="850"/>
      <c r="B796" s="499"/>
      <c r="C796" s="490"/>
      <c r="D796" s="490"/>
      <c r="E796" s="323"/>
      <c r="F796" s="323"/>
      <c r="G796" s="812"/>
      <c r="H796" s="490"/>
      <c r="I796" s="812"/>
      <c r="J796" s="743"/>
      <c r="K796" s="490"/>
      <c r="L796" s="490"/>
    </row>
    <row r="797" spans="1:12" s="315" customFormat="1" x14ac:dyDescent="0.25">
      <c r="A797" s="850"/>
      <c r="B797" s="499"/>
      <c r="C797" s="490"/>
      <c r="D797" s="490"/>
      <c r="E797" s="323"/>
      <c r="F797" s="323"/>
      <c r="G797" s="812"/>
      <c r="H797" s="490"/>
      <c r="I797" s="812"/>
      <c r="J797" s="743"/>
      <c r="K797" s="490"/>
      <c r="L797" s="490"/>
    </row>
    <row r="798" spans="1:12" s="315" customFormat="1" x14ac:dyDescent="0.25">
      <c r="A798" s="850"/>
      <c r="B798" s="499"/>
      <c r="C798" s="490"/>
      <c r="D798" s="490"/>
      <c r="E798" s="323"/>
      <c r="F798" s="323"/>
      <c r="G798" s="812"/>
      <c r="H798" s="490"/>
      <c r="I798" s="812"/>
      <c r="J798" s="743"/>
      <c r="K798" s="490"/>
      <c r="L798" s="490"/>
    </row>
    <row r="799" spans="1:12" s="315" customFormat="1" x14ac:dyDescent="0.25">
      <c r="A799" s="850"/>
      <c r="B799" s="499"/>
      <c r="C799" s="490"/>
      <c r="D799" s="490"/>
      <c r="E799" s="323"/>
      <c r="F799" s="323"/>
      <c r="G799" s="812"/>
      <c r="H799" s="490"/>
      <c r="I799" s="812"/>
      <c r="J799" s="743"/>
      <c r="K799" s="490"/>
      <c r="L799" s="490"/>
    </row>
    <row r="800" spans="1:12" s="315" customFormat="1" x14ac:dyDescent="0.25">
      <c r="A800" s="850"/>
      <c r="B800" s="499"/>
      <c r="C800" s="490"/>
      <c r="D800" s="490"/>
      <c r="E800" s="323"/>
      <c r="F800" s="323"/>
      <c r="G800" s="812"/>
      <c r="H800" s="490"/>
      <c r="I800" s="812"/>
      <c r="J800" s="743"/>
      <c r="K800" s="490"/>
      <c r="L800" s="490"/>
    </row>
    <row r="801" spans="1:12" s="315" customFormat="1" x14ac:dyDescent="0.25">
      <c r="A801" s="850"/>
      <c r="B801" s="499"/>
      <c r="C801" s="490"/>
      <c r="D801" s="490"/>
      <c r="E801" s="323"/>
      <c r="F801" s="323"/>
      <c r="G801" s="812"/>
      <c r="H801" s="490"/>
      <c r="I801" s="812"/>
      <c r="J801" s="743"/>
      <c r="K801" s="490"/>
      <c r="L801" s="490"/>
    </row>
    <row r="802" spans="1:12" s="315" customFormat="1" x14ac:dyDescent="0.25">
      <c r="A802" s="850"/>
      <c r="B802" s="499"/>
      <c r="C802" s="490"/>
      <c r="D802" s="490"/>
      <c r="E802" s="323"/>
      <c r="F802" s="323"/>
      <c r="G802" s="812"/>
      <c r="H802" s="490"/>
      <c r="I802" s="812"/>
      <c r="J802" s="743"/>
      <c r="K802" s="490"/>
      <c r="L802" s="490"/>
    </row>
    <row r="803" spans="1:12" s="315" customFormat="1" x14ac:dyDescent="0.25">
      <c r="A803" s="850"/>
      <c r="B803" s="499"/>
      <c r="C803" s="490"/>
      <c r="D803" s="490"/>
      <c r="E803" s="323"/>
      <c r="F803" s="323"/>
      <c r="G803" s="812"/>
      <c r="H803" s="490"/>
      <c r="I803" s="812"/>
      <c r="J803" s="743"/>
      <c r="K803" s="490"/>
      <c r="L803" s="490"/>
    </row>
    <row r="804" spans="1:12" s="315" customFormat="1" x14ac:dyDescent="0.25">
      <c r="A804" s="850"/>
      <c r="B804" s="499"/>
      <c r="C804" s="490"/>
      <c r="D804" s="490"/>
      <c r="E804" s="323"/>
      <c r="F804" s="323"/>
      <c r="G804" s="812"/>
      <c r="H804" s="490"/>
      <c r="I804" s="812"/>
      <c r="J804" s="743"/>
      <c r="K804" s="490"/>
      <c r="L804" s="490"/>
    </row>
    <row r="805" spans="1:12" s="315" customFormat="1" x14ac:dyDescent="0.25">
      <c r="A805" s="850"/>
      <c r="B805" s="499"/>
      <c r="C805" s="490"/>
      <c r="D805" s="490"/>
      <c r="E805" s="323"/>
      <c r="F805" s="323"/>
      <c r="G805" s="812"/>
      <c r="H805" s="490"/>
      <c r="I805" s="812"/>
      <c r="J805" s="743"/>
      <c r="K805" s="490"/>
      <c r="L805" s="490"/>
    </row>
    <row r="806" spans="1:12" s="315" customFormat="1" x14ac:dyDescent="0.25">
      <c r="A806" s="850"/>
      <c r="B806" s="499"/>
      <c r="C806" s="490"/>
      <c r="D806" s="490"/>
      <c r="E806" s="323"/>
      <c r="F806" s="323"/>
      <c r="G806" s="812"/>
      <c r="H806" s="490"/>
      <c r="I806" s="812"/>
      <c r="J806" s="743"/>
      <c r="K806" s="490"/>
      <c r="L806" s="490"/>
    </row>
    <row r="807" spans="1:12" s="315" customFormat="1" x14ac:dyDescent="0.25">
      <c r="A807" s="850"/>
      <c r="B807" s="499"/>
      <c r="C807" s="490"/>
      <c r="D807" s="490"/>
      <c r="E807" s="323"/>
      <c r="F807" s="323"/>
      <c r="G807" s="812"/>
      <c r="H807" s="490"/>
      <c r="I807" s="812"/>
      <c r="J807" s="743"/>
      <c r="K807" s="490"/>
      <c r="L807" s="490"/>
    </row>
    <row r="808" spans="1:12" s="315" customFormat="1" x14ac:dyDescent="0.25">
      <c r="A808" s="850"/>
      <c r="B808" s="499"/>
      <c r="C808" s="490"/>
      <c r="D808" s="490"/>
      <c r="E808" s="323"/>
      <c r="F808" s="323"/>
      <c r="G808" s="812"/>
      <c r="H808" s="490"/>
      <c r="I808" s="812"/>
      <c r="J808" s="743"/>
      <c r="K808" s="490"/>
      <c r="L808" s="490"/>
    </row>
    <row r="809" spans="1:12" s="315" customFormat="1" x14ac:dyDescent="0.25">
      <c r="A809" s="850"/>
      <c r="B809" s="499"/>
      <c r="C809" s="490"/>
      <c r="D809" s="490"/>
      <c r="E809" s="323"/>
      <c r="F809" s="323"/>
      <c r="G809" s="812"/>
      <c r="H809" s="490"/>
      <c r="I809" s="812"/>
      <c r="J809" s="743"/>
      <c r="K809" s="490"/>
      <c r="L809" s="490"/>
    </row>
    <row r="810" spans="1:12" s="315" customFormat="1" x14ac:dyDescent="0.25">
      <c r="A810" s="850"/>
      <c r="B810" s="499"/>
      <c r="C810" s="490"/>
      <c r="D810" s="490"/>
      <c r="E810" s="323"/>
      <c r="F810" s="323"/>
      <c r="G810" s="812"/>
      <c r="H810" s="490"/>
      <c r="I810" s="812"/>
      <c r="J810" s="743"/>
      <c r="K810" s="490"/>
      <c r="L810" s="490"/>
    </row>
    <row r="811" spans="1:12" s="315" customFormat="1" x14ac:dyDescent="0.25">
      <c r="A811" s="850"/>
      <c r="B811" s="499"/>
      <c r="C811" s="490"/>
      <c r="D811" s="490"/>
      <c r="E811" s="323"/>
      <c r="F811" s="323"/>
      <c r="G811" s="812"/>
      <c r="H811" s="490"/>
      <c r="I811" s="812"/>
      <c r="J811" s="743"/>
      <c r="K811" s="490"/>
      <c r="L811" s="490"/>
    </row>
    <row r="812" spans="1:12" s="315" customFormat="1" x14ac:dyDescent="0.25">
      <c r="A812" s="850"/>
      <c r="B812" s="499"/>
      <c r="C812" s="490"/>
      <c r="D812" s="490"/>
      <c r="E812" s="323"/>
      <c r="F812" s="323"/>
      <c r="G812" s="812"/>
      <c r="H812" s="490"/>
      <c r="I812" s="812"/>
      <c r="J812" s="743"/>
      <c r="K812" s="490"/>
      <c r="L812" s="490"/>
    </row>
    <row r="813" spans="1:12" s="315" customFormat="1" x14ac:dyDescent="0.25">
      <c r="A813" s="850"/>
      <c r="B813" s="499"/>
      <c r="C813" s="490"/>
      <c r="D813" s="490"/>
      <c r="E813" s="323"/>
      <c r="F813" s="323"/>
      <c r="G813" s="812"/>
      <c r="H813" s="490"/>
      <c r="I813" s="812"/>
      <c r="J813" s="743"/>
      <c r="K813" s="490"/>
      <c r="L813" s="490"/>
    </row>
    <row r="814" spans="1:12" s="315" customFormat="1" x14ac:dyDescent="0.25">
      <c r="A814" s="850"/>
      <c r="B814" s="499"/>
      <c r="C814" s="490"/>
      <c r="D814" s="490"/>
      <c r="E814" s="323"/>
      <c r="F814" s="323"/>
      <c r="G814" s="812"/>
      <c r="H814" s="490"/>
      <c r="I814" s="812"/>
      <c r="J814" s="743"/>
      <c r="K814" s="490"/>
      <c r="L814" s="490"/>
    </row>
    <row r="815" spans="1:12" s="315" customFormat="1" x14ac:dyDescent="0.25">
      <c r="A815" s="850"/>
      <c r="B815" s="499"/>
      <c r="C815" s="490"/>
      <c r="D815" s="490"/>
      <c r="E815" s="323"/>
      <c r="F815" s="323"/>
      <c r="G815" s="812"/>
      <c r="H815" s="490"/>
      <c r="I815" s="812"/>
      <c r="J815" s="743"/>
      <c r="K815" s="490"/>
      <c r="L815" s="490"/>
    </row>
    <row r="816" spans="1:12" s="315" customFormat="1" x14ac:dyDescent="0.25">
      <c r="A816" s="850"/>
      <c r="B816" s="499"/>
      <c r="C816" s="490"/>
      <c r="D816" s="490"/>
      <c r="E816" s="323"/>
      <c r="F816" s="323"/>
      <c r="G816" s="812"/>
      <c r="H816" s="490"/>
      <c r="I816" s="812"/>
      <c r="J816" s="743"/>
      <c r="K816" s="490"/>
      <c r="L816" s="490"/>
    </row>
    <row r="817" spans="1:12" s="315" customFormat="1" x14ac:dyDescent="0.25">
      <c r="A817" s="850"/>
      <c r="B817" s="499"/>
      <c r="C817" s="490"/>
      <c r="D817" s="490"/>
      <c r="E817" s="323"/>
      <c r="F817" s="323"/>
      <c r="G817" s="812"/>
      <c r="H817" s="490"/>
      <c r="I817" s="812"/>
      <c r="J817" s="743"/>
      <c r="K817" s="490"/>
      <c r="L817" s="490"/>
    </row>
    <row r="818" spans="1:12" s="315" customFormat="1" x14ac:dyDescent="0.25">
      <c r="A818" s="850"/>
      <c r="B818" s="499"/>
      <c r="C818" s="490"/>
      <c r="D818" s="490"/>
      <c r="E818" s="323"/>
      <c r="F818" s="323"/>
      <c r="G818" s="812"/>
      <c r="H818" s="490"/>
      <c r="I818" s="812"/>
      <c r="J818" s="743"/>
      <c r="K818" s="490"/>
      <c r="L818" s="490"/>
    </row>
    <row r="819" spans="1:12" s="315" customFormat="1" x14ac:dyDescent="0.25">
      <c r="A819" s="850"/>
      <c r="B819" s="499"/>
      <c r="C819" s="490"/>
      <c r="D819" s="490"/>
      <c r="E819" s="323"/>
      <c r="F819" s="323"/>
      <c r="G819" s="812"/>
      <c r="H819" s="490"/>
      <c r="I819" s="812"/>
      <c r="J819" s="743"/>
      <c r="K819" s="490"/>
      <c r="L819" s="490"/>
    </row>
    <row r="820" spans="1:12" s="315" customFormat="1" x14ac:dyDescent="0.25">
      <c r="A820" s="850"/>
      <c r="B820" s="499"/>
      <c r="C820" s="490"/>
      <c r="D820" s="490"/>
      <c r="E820" s="323"/>
      <c r="F820" s="323"/>
      <c r="G820" s="812"/>
      <c r="H820" s="490"/>
      <c r="I820" s="812"/>
      <c r="J820" s="743"/>
      <c r="K820" s="490"/>
      <c r="L820" s="490"/>
    </row>
    <row r="821" spans="1:12" s="315" customFormat="1" x14ac:dyDescent="0.25">
      <c r="A821" s="850"/>
      <c r="B821" s="499"/>
      <c r="C821" s="490"/>
      <c r="D821" s="490"/>
      <c r="E821" s="323"/>
      <c r="F821" s="323"/>
      <c r="G821" s="812"/>
      <c r="H821" s="490"/>
      <c r="I821" s="812"/>
      <c r="J821" s="743"/>
      <c r="K821" s="490"/>
      <c r="L821" s="490"/>
    </row>
    <row r="822" spans="1:12" s="315" customFormat="1" x14ac:dyDescent="0.25">
      <c r="A822" s="850"/>
      <c r="B822" s="499"/>
      <c r="C822" s="490"/>
      <c r="D822" s="490"/>
      <c r="E822" s="323"/>
      <c r="F822" s="323"/>
      <c r="G822" s="812"/>
      <c r="H822" s="490"/>
      <c r="I822" s="812"/>
      <c r="J822" s="743"/>
      <c r="K822" s="490"/>
      <c r="L822" s="490"/>
    </row>
    <row r="823" spans="1:12" s="315" customFormat="1" x14ac:dyDescent="0.25">
      <c r="A823" s="850"/>
      <c r="B823" s="499"/>
      <c r="C823" s="490"/>
      <c r="D823" s="490"/>
      <c r="E823" s="323"/>
      <c r="F823" s="323"/>
      <c r="G823" s="812"/>
      <c r="H823" s="490"/>
      <c r="I823" s="812"/>
      <c r="J823" s="743"/>
      <c r="K823" s="490"/>
      <c r="L823" s="490"/>
    </row>
    <row r="824" spans="1:12" s="315" customFormat="1" x14ac:dyDescent="0.25">
      <c r="A824" s="850"/>
      <c r="B824" s="499"/>
      <c r="C824" s="490"/>
      <c r="D824" s="490"/>
      <c r="E824" s="323"/>
      <c r="F824" s="323"/>
      <c r="G824" s="812"/>
      <c r="H824" s="490"/>
      <c r="I824" s="812"/>
      <c r="J824" s="743"/>
      <c r="K824" s="490"/>
      <c r="L824" s="490"/>
    </row>
    <row r="825" spans="1:12" s="315" customFormat="1" x14ac:dyDescent="0.25">
      <c r="A825" s="850"/>
      <c r="B825" s="499"/>
      <c r="C825" s="490"/>
      <c r="D825" s="490"/>
      <c r="E825" s="323"/>
      <c r="F825" s="323"/>
      <c r="G825" s="812"/>
      <c r="H825" s="490"/>
      <c r="I825" s="812"/>
      <c r="J825" s="743"/>
      <c r="K825" s="490"/>
      <c r="L825" s="490"/>
    </row>
    <row r="826" spans="1:12" s="315" customFormat="1" x14ac:dyDescent="0.25">
      <c r="A826" s="850"/>
      <c r="B826" s="499"/>
      <c r="C826" s="490"/>
      <c r="D826" s="490"/>
      <c r="E826" s="323"/>
      <c r="F826" s="323"/>
      <c r="G826" s="812"/>
      <c r="H826" s="490"/>
      <c r="I826" s="812"/>
      <c r="J826" s="743"/>
      <c r="K826" s="490"/>
      <c r="L826" s="490"/>
    </row>
    <row r="827" spans="1:12" s="315" customFormat="1" x14ac:dyDescent="0.25">
      <c r="A827" s="850"/>
      <c r="B827" s="499"/>
      <c r="C827" s="490"/>
      <c r="D827" s="490"/>
      <c r="E827" s="323"/>
      <c r="F827" s="323"/>
      <c r="G827" s="812"/>
      <c r="H827" s="490"/>
      <c r="I827" s="812"/>
      <c r="J827" s="743"/>
      <c r="K827" s="490"/>
      <c r="L827" s="490"/>
    </row>
    <row r="828" spans="1:12" s="315" customFormat="1" x14ac:dyDescent="0.25">
      <c r="A828" s="850"/>
      <c r="B828" s="499"/>
      <c r="C828" s="490"/>
      <c r="D828" s="490"/>
      <c r="E828" s="323"/>
      <c r="F828" s="323"/>
      <c r="G828" s="812"/>
      <c r="H828" s="490"/>
      <c r="I828" s="812"/>
      <c r="J828" s="743"/>
      <c r="K828" s="490"/>
      <c r="L828" s="490"/>
    </row>
    <row r="829" spans="1:12" s="315" customFormat="1" x14ac:dyDescent="0.25">
      <c r="A829" s="850"/>
      <c r="B829" s="499"/>
      <c r="C829" s="490"/>
      <c r="D829" s="490"/>
      <c r="E829" s="323"/>
      <c r="F829" s="323"/>
      <c r="G829" s="812"/>
      <c r="H829" s="490"/>
      <c r="I829" s="812"/>
      <c r="J829" s="743"/>
      <c r="K829" s="490"/>
      <c r="L829" s="490"/>
    </row>
    <row r="830" spans="1:12" s="315" customFormat="1" x14ac:dyDescent="0.25">
      <c r="A830" s="850"/>
      <c r="B830" s="499"/>
      <c r="C830" s="490"/>
      <c r="D830" s="490"/>
      <c r="E830" s="323"/>
      <c r="F830" s="323"/>
      <c r="G830" s="812"/>
      <c r="H830" s="490"/>
      <c r="I830" s="812"/>
      <c r="J830" s="743"/>
      <c r="K830" s="490"/>
      <c r="L830" s="490"/>
    </row>
    <row r="831" spans="1:12" s="315" customFormat="1" x14ac:dyDescent="0.25">
      <c r="A831" s="850"/>
      <c r="B831" s="499"/>
      <c r="C831" s="490"/>
      <c r="D831" s="490"/>
      <c r="E831" s="323"/>
      <c r="F831" s="323"/>
      <c r="G831" s="812"/>
      <c r="H831" s="490"/>
      <c r="I831" s="812"/>
      <c r="J831" s="743"/>
      <c r="K831" s="490"/>
      <c r="L831" s="490"/>
    </row>
    <row r="832" spans="1:12" s="315" customFormat="1" x14ac:dyDescent="0.25">
      <c r="A832" s="850"/>
      <c r="B832" s="499"/>
      <c r="C832" s="490"/>
      <c r="D832" s="490"/>
      <c r="E832" s="323"/>
      <c r="F832" s="323"/>
      <c r="G832" s="812"/>
      <c r="H832" s="490"/>
      <c r="I832" s="812"/>
      <c r="J832" s="743"/>
      <c r="K832" s="490"/>
      <c r="L832" s="490"/>
    </row>
    <row r="833" spans="1:12" s="315" customFormat="1" x14ac:dyDescent="0.25">
      <c r="A833" s="850"/>
      <c r="B833" s="499"/>
      <c r="C833" s="490"/>
      <c r="D833" s="490"/>
      <c r="E833" s="323"/>
      <c r="F833" s="323"/>
      <c r="G833" s="812"/>
      <c r="H833" s="490"/>
      <c r="I833" s="812"/>
      <c r="J833" s="743"/>
      <c r="K833" s="490"/>
      <c r="L833" s="490"/>
    </row>
    <row r="834" spans="1:12" s="315" customFormat="1" x14ac:dyDescent="0.25">
      <c r="A834" s="850"/>
      <c r="B834" s="499"/>
      <c r="C834" s="490"/>
      <c r="D834" s="490"/>
      <c r="E834" s="323"/>
      <c r="F834" s="323"/>
      <c r="G834" s="812"/>
      <c r="H834" s="490"/>
      <c r="I834" s="812"/>
      <c r="J834" s="743"/>
      <c r="K834" s="490"/>
      <c r="L834" s="490"/>
    </row>
    <row r="835" spans="1:12" s="315" customFormat="1" x14ac:dyDescent="0.25">
      <c r="A835" s="850"/>
      <c r="B835" s="499"/>
      <c r="C835" s="490"/>
      <c r="D835" s="490"/>
      <c r="E835" s="323"/>
      <c r="F835" s="323"/>
      <c r="G835" s="812"/>
      <c r="H835" s="490"/>
      <c r="I835" s="812"/>
      <c r="J835" s="743"/>
      <c r="K835" s="490"/>
      <c r="L835" s="490"/>
    </row>
    <row r="836" spans="1:12" s="315" customFormat="1" x14ac:dyDescent="0.25">
      <c r="A836" s="850"/>
      <c r="B836" s="499"/>
      <c r="C836" s="490"/>
      <c r="D836" s="490"/>
      <c r="E836" s="323"/>
      <c r="F836" s="323"/>
      <c r="G836" s="812"/>
      <c r="H836" s="490"/>
      <c r="I836" s="812"/>
      <c r="J836" s="743"/>
      <c r="K836" s="490"/>
      <c r="L836" s="490"/>
    </row>
    <row r="837" spans="1:12" s="315" customFormat="1" x14ac:dyDescent="0.25">
      <c r="A837" s="850"/>
      <c r="B837" s="499"/>
      <c r="C837" s="490"/>
      <c r="D837" s="490"/>
      <c r="E837" s="323"/>
      <c r="F837" s="323"/>
      <c r="G837" s="812"/>
      <c r="H837" s="490"/>
      <c r="I837" s="812"/>
      <c r="J837" s="743"/>
      <c r="K837" s="490"/>
      <c r="L837" s="490"/>
    </row>
    <row r="838" spans="1:12" s="315" customFormat="1" x14ac:dyDescent="0.25">
      <c r="A838" s="850"/>
      <c r="B838" s="499"/>
      <c r="C838" s="490"/>
      <c r="D838" s="490"/>
      <c r="E838" s="323"/>
      <c r="F838" s="323"/>
      <c r="G838" s="812"/>
      <c r="H838" s="490"/>
      <c r="I838" s="812"/>
      <c r="J838" s="743"/>
      <c r="K838" s="490"/>
      <c r="L838" s="490"/>
    </row>
    <row r="839" spans="1:12" s="315" customFormat="1" x14ac:dyDescent="0.25">
      <c r="A839" s="850"/>
      <c r="B839" s="499"/>
      <c r="C839" s="490"/>
      <c r="D839" s="490"/>
      <c r="E839" s="323"/>
      <c r="F839" s="323"/>
      <c r="G839" s="812"/>
      <c r="H839" s="490"/>
      <c r="I839" s="812"/>
      <c r="J839" s="743"/>
      <c r="K839" s="490"/>
      <c r="L839" s="490"/>
    </row>
    <row r="840" spans="1:12" s="315" customFormat="1" x14ac:dyDescent="0.25">
      <c r="A840" s="850"/>
      <c r="B840" s="499"/>
      <c r="C840" s="490"/>
      <c r="D840" s="490"/>
      <c r="E840" s="323"/>
      <c r="F840" s="323"/>
      <c r="G840" s="812"/>
      <c r="H840" s="490"/>
      <c r="I840" s="812"/>
      <c r="J840" s="743"/>
      <c r="K840" s="490"/>
      <c r="L840" s="490"/>
    </row>
    <row r="841" spans="1:12" s="315" customFormat="1" x14ac:dyDescent="0.25">
      <c r="A841" s="850"/>
      <c r="B841" s="499"/>
      <c r="C841" s="490"/>
      <c r="D841" s="490"/>
      <c r="E841" s="323"/>
      <c r="F841" s="323"/>
      <c r="G841" s="812"/>
      <c r="H841" s="490"/>
      <c r="I841" s="812"/>
      <c r="J841" s="743"/>
      <c r="K841" s="490"/>
      <c r="L841" s="490"/>
    </row>
    <row r="842" spans="1:12" s="315" customFormat="1" x14ac:dyDescent="0.25">
      <c r="A842" s="850"/>
      <c r="B842" s="499"/>
      <c r="C842" s="490"/>
      <c r="D842" s="490"/>
      <c r="E842" s="323"/>
      <c r="F842" s="323"/>
      <c r="G842" s="812"/>
      <c r="H842" s="490"/>
      <c r="I842" s="812"/>
      <c r="J842" s="743"/>
      <c r="K842" s="490"/>
      <c r="L842" s="490"/>
    </row>
    <row r="843" spans="1:12" s="315" customFormat="1" x14ac:dyDescent="0.25">
      <c r="A843" s="850"/>
      <c r="B843" s="499"/>
      <c r="C843" s="490"/>
      <c r="D843" s="490"/>
      <c r="E843" s="323"/>
      <c r="F843" s="323"/>
      <c r="G843" s="812"/>
      <c r="H843" s="490"/>
      <c r="I843" s="812"/>
      <c r="J843" s="743"/>
      <c r="K843" s="490"/>
      <c r="L843" s="490"/>
    </row>
    <row r="844" spans="1:12" s="315" customFormat="1" x14ac:dyDescent="0.25">
      <c r="A844" s="850"/>
      <c r="B844" s="499"/>
      <c r="C844" s="490"/>
      <c r="D844" s="490"/>
      <c r="E844" s="323"/>
      <c r="F844" s="323"/>
      <c r="G844" s="812"/>
      <c r="H844" s="490"/>
      <c r="I844" s="812"/>
      <c r="J844" s="743"/>
      <c r="K844" s="490"/>
      <c r="L844" s="490"/>
    </row>
    <row r="845" spans="1:12" s="315" customFormat="1" x14ac:dyDescent="0.25">
      <c r="A845" s="850"/>
      <c r="B845" s="499"/>
      <c r="C845" s="490"/>
      <c r="D845" s="490"/>
      <c r="E845" s="323"/>
      <c r="F845" s="323"/>
      <c r="G845" s="812"/>
      <c r="H845" s="490"/>
      <c r="I845" s="812"/>
      <c r="J845" s="743"/>
      <c r="K845" s="490"/>
      <c r="L845" s="490"/>
    </row>
    <row r="846" spans="1:12" s="315" customFormat="1" x14ac:dyDescent="0.25">
      <c r="A846" s="850"/>
      <c r="B846" s="499"/>
      <c r="C846" s="490"/>
      <c r="D846" s="490"/>
      <c r="E846" s="323"/>
      <c r="F846" s="323"/>
      <c r="G846" s="812"/>
      <c r="H846" s="490"/>
      <c r="I846" s="812"/>
      <c r="J846" s="743"/>
      <c r="K846" s="490"/>
      <c r="L846" s="490"/>
    </row>
    <row r="847" spans="1:12" s="315" customFormat="1" x14ac:dyDescent="0.25">
      <c r="A847" s="850"/>
      <c r="B847" s="499"/>
      <c r="C847" s="490"/>
      <c r="D847" s="490"/>
      <c r="E847" s="323"/>
      <c r="F847" s="323"/>
      <c r="G847" s="812"/>
      <c r="H847" s="490"/>
      <c r="I847" s="812"/>
      <c r="J847" s="743"/>
      <c r="K847" s="490"/>
      <c r="L847" s="490"/>
    </row>
    <row r="848" spans="1:12" s="315" customFormat="1" x14ac:dyDescent="0.25">
      <c r="A848" s="850"/>
      <c r="B848" s="499"/>
      <c r="C848" s="490"/>
      <c r="D848" s="490"/>
      <c r="E848" s="323"/>
      <c r="F848" s="323"/>
      <c r="G848" s="812"/>
      <c r="H848" s="490"/>
      <c r="I848" s="812"/>
      <c r="J848" s="743"/>
      <c r="K848" s="490"/>
      <c r="L848" s="490"/>
    </row>
    <row r="849" spans="1:12" s="315" customFormat="1" x14ac:dyDescent="0.25">
      <c r="A849" s="850"/>
      <c r="B849" s="499"/>
      <c r="C849" s="490"/>
      <c r="D849" s="490"/>
      <c r="E849" s="323"/>
      <c r="F849" s="323"/>
      <c r="G849" s="812"/>
      <c r="H849" s="490"/>
      <c r="I849" s="812"/>
      <c r="J849" s="743"/>
      <c r="K849" s="490"/>
      <c r="L849" s="490"/>
    </row>
    <row r="850" spans="1:12" s="315" customFormat="1" x14ac:dyDescent="0.25">
      <c r="A850" s="850"/>
      <c r="B850" s="499"/>
      <c r="C850" s="490"/>
      <c r="D850" s="490"/>
      <c r="E850" s="323"/>
      <c r="F850" s="323"/>
      <c r="G850" s="812"/>
      <c r="H850" s="490"/>
      <c r="I850" s="812"/>
      <c r="J850" s="743"/>
      <c r="K850" s="490"/>
      <c r="L850" s="490"/>
    </row>
    <row r="851" spans="1:12" s="315" customFormat="1" x14ac:dyDescent="0.25">
      <c r="A851" s="850"/>
      <c r="B851" s="499"/>
      <c r="C851" s="490"/>
      <c r="D851" s="490"/>
      <c r="E851" s="323"/>
      <c r="F851" s="323"/>
      <c r="G851" s="812"/>
      <c r="H851" s="490"/>
      <c r="I851" s="812"/>
      <c r="J851" s="743"/>
      <c r="K851" s="490"/>
      <c r="L851" s="490"/>
    </row>
    <row r="852" spans="1:12" s="315" customFormat="1" x14ac:dyDescent="0.25">
      <c r="A852" s="850"/>
      <c r="B852" s="499"/>
      <c r="C852" s="490"/>
      <c r="D852" s="490"/>
      <c r="E852" s="323"/>
      <c r="F852" s="323"/>
      <c r="G852" s="812"/>
      <c r="H852" s="490"/>
      <c r="I852" s="812"/>
      <c r="J852" s="743"/>
      <c r="K852" s="490"/>
      <c r="L852" s="490"/>
    </row>
    <row r="853" spans="1:12" s="315" customFormat="1" x14ac:dyDescent="0.25">
      <c r="A853" s="850"/>
      <c r="B853" s="499"/>
      <c r="C853" s="490"/>
      <c r="D853" s="490"/>
      <c r="E853" s="323"/>
      <c r="F853" s="323"/>
      <c r="G853" s="812"/>
      <c r="H853" s="490"/>
      <c r="I853" s="812"/>
      <c r="J853" s="743"/>
      <c r="K853" s="490"/>
      <c r="L853" s="490"/>
    </row>
    <row r="854" spans="1:12" s="315" customFormat="1" x14ac:dyDescent="0.25">
      <c r="A854" s="850"/>
      <c r="B854" s="499"/>
      <c r="C854" s="490"/>
      <c r="D854" s="490"/>
      <c r="E854" s="323"/>
      <c r="F854" s="323"/>
      <c r="G854" s="812"/>
      <c r="H854" s="490"/>
      <c r="I854" s="812"/>
      <c r="J854" s="743"/>
      <c r="K854" s="490"/>
      <c r="L854" s="490"/>
    </row>
    <row r="855" spans="1:12" s="315" customFormat="1" x14ac:dyDescent="0.25">
      <c r="A855" s="850"/>
      <c r="B855" s="499"/>
      <c r="C855" s="490"/>
      <c r="D855" s="490"/>
      <c r="E855" s="323"/>
      <c r="F855" s="323"/>
      <c r="G855" s="812"/>
      <c r="H855" s="490"/>
      <c r="I855" s="812"/>
      <c r="J855" s="743"/>
      <c r="K855" s="490"/>
      <c r="L855" s="490"/>
    </row>
    <row r="856" spans="1:12" s="315" customFormat="1" x14ac:dyDescent="0.25">
      <c r="A856" s="850"/>
      <c r="B856" s="499"/>
      <c r="C856" s="490"/>
      <c r="D856" s="490"/>
      <c r="E856" s="323"/>
      <c r="F856" s="323"/>
      <c r="G856" s="812"/>
      <c r="H856" s="490"/>
      <c r="I856" s="812"/>
      <c r="J856" s="743"/>
      <c r="K856" s="490"/>
      <c r="L856" s="490"/>
    </row>
    <row r="857" spans="1:12" s="315" customFormat="1" x14ac:dyDescent="0.25">
      <c r="A857" s="850"/>
      <c r="B857" s="499"/>
      <c r="C857" s="490"/>
      <c r="D857" s="490"/>
      <c r="E857" s="323"/>
      <c r="F857" s="323"/>
      <c r="G857" s="812"/>
      <c r="H857" s="490"/>
      <c r="I857" s="812"/>
      <c r="J857" s="743"/>
      <c r="K857" s="490"/>
      <c r="L857" s="490"/>
    </row>
    <row r="858" spans="1:12" s="315" customFormat="1" x14ac:dyDescent="0.25">
      <c r="A858" s="850"/>
      <c r="B858" s="499"/>
      <c r="C858" s="490"/>
      <c r="D858" s="490"/>
      <c r="E858" s="323"/>
      <c r="F858" s="323"/>
      <c r="G858" s="812"/>
      <c r="H858" s="490"/>
      <c r="I858" s="812"/>
      <c r="J858" s="743"/>
      <c r="K858" s="490"/>
      <c r="L858" s="490"/>
    </row>
    <row r="859" spans="1:12" s="315" customFormat="1" x14ac:dyDescent="0.25">
      <c r="A859" s="850"/>
      <c r="B859" s="499"/>
      <c r="C859" s="490"/>
      <c r="D859" s="490"/>
      <c r="E859" s="323"/>
      <c r="F859" s="323"/>
      <c r="G859" s="812"/>
      <c r="H859" s="490"/>
      <c r="I859" s="812"/>
      <c r="J859" s="743"/>
      <c r="K859" s="490"/>
      <c r="L859" s="490"/>
    </row>
    <row r="860" spans="1:12" s="315" customFormat="1" x14ac:dyDescent="0.25">
      <c r="A860" s="850"/>
      <c r="B860" s="499"/>
      <c r="C860" s="490"/>
      <c r="D860" s="490"/>
      <c r="E860" s="323"/>
      <c r="F860" s="323"/>
      <c r="G860" s="812"/>
      <c r="H860" s="490"/>
      <c r="I860" s="812"/>
      <c r="J860" s="743"/>
      <c r="K860" s="490"/>
      <c r="L860" s="490"/>
    </row>
    <row r="861" spans="1:12" s="315" customFormat="1" x14ac:dyDescent="0.25">
      <c r="A861" s="850"/>
      <c r="B861" s="499"/>
      <c r="C861" s="490"/>
      <c r="D861" s="490"/>
      <c r="E861" s="323"/>
      <c r="F861" s="323"/>
      <c r="G861" s="812"/>
      <c r="H861" s="490"/>
      <c r="I861" s="812"/>
      <c r="J861" s="743"/>
      <c r="K861" s="490"/>
      <c r="L861" s="490"/>
    </row>
    <row r="862" spans="1:12" s="315" customFormat="1" x14ac:dyDescent="0.25">
      <c r="A862" s="850"/>
      <c r="B862" s="499"/>
      <c r="C862" s="490"/>
      <c r="D862" s="490"/>
      <c r="E862" s="323"/>
      <c r="F862" s="323"/>
      <c r="G862" s="812"/>
      <c r="H862" s="490"/>
      <c r="I862" s="812"/>
      <c r="J862" s="743"/>
      <c r="K862" s="490"/>
      <c r="L862" s="490"/>
    </row>
    <row r="863" spans="1:12" s="315" customFormat="1" x14ac:dyDescent="0.25">
      <c r="A863" s="850"/>
      <c r="B863" s="499"/>
      <c r="C863" s="490"/>
      <c r="D863" s="490"/>
      <c r="E863" s="323"/>
      <c r="F863" s="323"/>
      <c r="G863" s="812"/>
      <c r="H863" s="490"/>
      <c r="I863" s="812"/>
      <c r="J863" s="743"/>
      <c r="K863" s="490"/>
      <c r="L863" s="490"/>
    </row>
    <row r="864" spans="1:12" s="315" customFormat="1" x14ac:dyDescent="0.25">
      <c r="A864" s="850"/>
      <c r="B864" s="499"/>
      <c r="C864" s="490"/>
      <c r="D864" s="490"/>
      <c r="E864" s="323"/>
      <c r="F864" s="323"/>
      <c r="G864" s="812"/>
      <c r="H864" s="490"/>
      <c r="I864" s="812"/>
      <c r="J864" s="743"/>
      <c r="K864" s="490"/>
      <c r="L864" s="490"/>
    </row>
    <row r="865" spans="1:12" s="315" customFormat="1" x14ac:dyDescent="0.25">
      <c r="A865" s="850"/>
      <c r="B865" s="499"/>
      <c r="C865" s="490"/>
      <c r="D865" s="490"/>
      <c r="E865" s="323"/>
      <c r="F865" s="323"/>
      <c r="G865" s="812"/>
      <c r="H865" s="490"/>
      <c r="I865" s="812"/>
      <c r="J865" s="743"/>
      <c r="K865" s="490"/>
      <c r="L865" s="490"/>
    </row>
    <row r="866" spans="1:12" s="315" customFormat="1" x14ac:dyDescent="0.25">
      <c r="A866" s="850"/>
      <c r="B866" s="499"/>
      <c r="C866" s="490"/>
      <c r="D866" s="490"/>
      <c r="E866" s="323"/>
      <c r="F866" s="323"/>
      <c r="G866" s="812"/>
      <c r="H866" s="490"/>
      <c r="I866" s="812"/>
      <c r="J866" s="743"/>
      <c r="K866" s="490"/>
      <c r="L866" s="490"/>
    </row>
    <row r="867" spans="1:12" s="315" customFormat="1" x14ac:dyDescent="0.25">
      <c r="A867" s="850"/>
      <c r="B867" s="499"/>
      <c r="C867" s="490"/>
      <c r="D867" s="490"/>
      <c r="E867" s="323"/>
      <c r="F867" s="323"/>
      <c r="G867" s="812"/>
      <c r="H867" s="490"/>
      <c r="I867" s="812"/>
      <c r="J867" s="743"/>
      <c r="K867" s="490"/>
      <c r="L867" s="490"/>
    </row>
    <row r="868" spans="1:12" s="315" customFormat="1" x14ac:dyDescent="0.25">
      <c r="A868" s="850"/>
      <c r="B868" s="499"/>
      <c r="C868" s="490"/>
      <c r="D868" s="490"/>
      <c r="E868" s="323"/>
      <c r="F868" s="323"/>
      <c r="G868" s="812"/>
      <c r="H868" s="490"/>
      <c r="I868" s="812"/>
      <c r="J868" s="743"/>
      <c r="K868" s="490"/>
      <c r="L868" s="490"/>
    </row>
    <row r="869" spans="1:12" s="315" customFormat="1" x14ac:dyDescent="0.25">
      <c r="A869" s="850"/>
      <c r="B869" s="499"/>
      <c r="C869" s="490"/>
      <c r="D869" s="490"/>
      <c r="E869" s="323"/>
      <c r="F869" s="323"/>
      <c r="G869" s="812"/>
      <c r="H869" s="490"/>
      <c r="I869" s="812"/>
      <c r="J869" s="743"/>
      <c r="K869" s="490"/>
      <c r="L869" s="490"/>
    </row>
    <row r="870" spans="1:12" s="315" customFormat="1" x14ac:dyDescent="0.25">
      <c r="A870" s="850"/>
      <c r="B870" s="499"/>
      <c r="C870" s="490"/>
      <c r="D870" s="490"/>
      <c r="E870" s="323"/>
      <c r="F870" s="323"/>
      <c r="G870" s="812"/>
      <c r="H870" s="490"/>
      <c r="I870" s="812"/>
      <c r="J870" s="743"/>
      <c r="K870" s="490"/>
      <c r="L870" s="490"/>
    </row>
    <row r="871" spans="1:12" s="315" customFormat="1" x14ac:dyDescent="0.25">
      <c r="A871" s="850"/>
      <c r="B871" s="499"/>
      <c r="C871" s="490"/>
      <c r="D871" s="490"/>
      <c r="E871" s="323"/>
      <c r="F871" s="323"/>
      <c r="G871" s="812"/>
      <c r="H871" s="490"/>
      <c r="I871" s="812"/>
      <c r="J871" s="743"/>
      <c r="K871" s="490"/>
      <c r="L871" s="490"/>
    </row>
    <row r="872" spans="1:12" s="315" customFormat="1" x14ac:dyDescent="0.25">
      <c r="A872" s="850"/>
      <c r="B872" s="499"/>
      <c r="C872" s="490"/>
      <c r="D872" s="490"/>
      <c r="E872" s="323"/>
      <c r="F872" s="323"/>
      <c r="G872" s="812"/>
      <c r="H872" s="490"/>
      <c r="I872" s="812"/>
      <c r="J872" s="743"/>
      <c r="K872" s="490"/>
      <c r="L872" s="490"/>
    </row>
    <row r="873" spans="1:12" s="315" customFormat="1" x14ac:dyDescent="0.25">
      <c r="A873" s="850"/>
      <c r="B873" s="499"/>
      <c r="C873" s="490"/>
      <c r="D873" s="490"/>
      <c r="E873" s="323"/>
      <c r="F873" s="323"/>
      <c r="G873" s="812"/>
      <c r="H873" s="490"/>
      <c r="I873" s="812"/>
      <c r="J873" s="743"/>
      <c r="K873" s="490"/>
      <c r="L873" s="490"/>
    </row>
    <row r="874" spans="1:12" s="315" customFormat="1" x14ac:dyDescent="0.25">
      <c r="A874" s="850"/>
      <c r="B874" s="499"/>
      <c r="C874" s="490"/>
      <c r="D874" s="490"/>
      <c r="E874" s="323"/>
      <c r="F874" s="323"/>
      <c r="G874" s="812"/>
      <c r="H874" s="490"/>
      <c r="I874" s="812"/>
      <c r="J874" s="743"/>
      <c r="K874" s="490"/>
      <c r="L874" s="490"/>
    </row>
    <row r="875" spans="1:12" s="315" customFormat="1" x14ac:dyDescent="0.25">
      <c r="A875" s="850"/>
      <c r="B875" s="499"/>
      <c r="C875" s="490"/>
      <c r="D875" s="490"/>
      <c r="E875" s="323"/>
      <c r="F875" s="323"/>
      <c r="G875" s="812"/>
      <c r="H875" s="490"/>
      <c r="I875" s="812"/>
      <c r="J875" s="743"/>
      <c r="K875" s="490"/>
      <c r="L875" s="490"/>
    </row>
    <row r="876" spans="1:12" s="315" customFormat="1" x14ac:dyDescent="0.25">
      <c r="A876" s="850"/>
      <c r="B876" s="499"/>
      <c r="C876" s="490"/>
      <c r="D876" s="490"/>
      <c r="E876" s="323"/>
      <c r="F876" s="323"/>
      <c r="G876" s="812"/>
      <c r="H876" s="490"/>
      <c r="I876" s="812"/>
      <c r="J876" s="743"/>
      <c r="K876" s="490"/>
      <c r="L876" s="490"/>
    </row>
    <row r="877" spans="1:12" s="315" customFormat="1" x14ac:dyDescent="0.25">
      <c r="A877" s="850"/>
      <c r="B877" s="499"/>
      <c r="C877" s="490"/>
      <c r="D877" s="490"/>
      <c r="E877" s="323"/>
      <c r="F877" s="323"/>
      <c r="G877" s="812"/>
      <c r="H877" s="490"/>
      <c r="I877" s="812"/>
      <c r="J877" s="743"/>
      <c r="K877" s="490"/>
      <c r="L877" s="490"/>
    </row>
    <row r="878" spans="1:12" s="315" customFormat="1" x14ac:dyDescent="0.25">
      <c r="A878" s="850"/>
      <c r="B878" s="499"/>
      <c r="C878" s="490"/>
      <c r="D878" s="490"/>
      <c r="E878" s="323"/>
      <c r="F878" s="323"/>
      <c r="G878" s="812"/>
      <c r="H878" s="490"/>
      <c r="I878" s="812"/>
      <c r="J878" s="743"/>
      <c r="K878" s="490"/>
      <c r="L878" s="490"/>
    </row>
    <row r="879" spans="1:12" s="315" customFormat="1" x14ac:dyDescent="0.25">
      <c r="A879" s="850"/>
      <c r="B879" s="499"/>
      <c r="C879" s="490"/>
      <c r="D879" s="490"/>
      <c r="E879" s="323"/>
      <c r="F879" s="323"/>
      <c r="G879" s="812"/>
      <c r="H879" s="490"/>
      <c r="I879" s="812"/>
      <c r="J879" s="743"/>
      <c r="K879" s="490"/>
      <c r="L879" s="490"/>
    </row>
    <row r="880" spans="1:12" s="315" customFormat="1" x14ac:dyDescent="0.25">
      <c r="A880" s="850"/>
      <c r="B880" s="499"/>
      <c r="C880" s="490"/>
      <c r="D880" s="490"/>
      <c r="E880" s="323"/>
      <c r="F880" s="323"/>
      <c r="G880" s="812"/>
      <c r="H880" s="490"/>
      <c r="I880" s="812"/>
      <c r="J880" s="743"/>
      <c r="K880" s="490"/>
      <c r="L880" s="490"/>
    </row>
    <row r="881" spans="1:12" s="315" customFormat="1" x14ac:dyDescent="0.25">
      <c r="A881" s="850"/>
      <c r="B881" s="499"/>
      <c r="C881" s="490"/>
      <c r="D881" s="490"/>
      <c r="E881" s="323"/>
      <c r="F881" s="323"/>
      <c r="G881" s="812"/>
      <c r="H881" s="490"/>
      <c r="I881" s="812"/>
      <c r="J881" s="743"/>
      <c r="K881" s="490"/>
      <c r="L881" s="490"/>
    </row>
    <row r="882" spans="1:12" s="315" customFormat="1" x14ac:dyDescent="0.25">
      <c r="A882" s="850"/>
      <c r="B882" s="499"/>
      <c r="C882" s="490"/>
      <c r="D882" s="490"/>
      <c r="E882" s="323"/>
      <c r="F882" s="323"/>
      <c r="G882" s="812"/>
      <c r="H882" s="490"/>
      <c r="I882" s="812"/>
      <c r="J882" s="743"/>
      <c r="K882" s="490"/>
      <c r="L882" s="490"/>
    </row>
    <row r="883" spans="1:12" s="315" customFormat="1" x14ac:dyDescent="0.25">
      <c r="A883" s="850"/>
      <c r="B883" s="499"/>
      <c r="C883" s="490"/>
      <c r="D883" s="490"/>
      <c r="E883" s="323"/>
      <c r="F883" s="323"/>
      <c r="G883" s="812"/>
      <c r="H883" s="490"/>
      <c r="I883" s="812"/>
      <c r="J883" s="743"/>
      <c r="K883" s="490"/>
      <c r="L883" s="490"/>
    </row>
    <row r="884" spans="1:12" s="315" customFormat="1" x14ac:dyDescent="0.25">
      <c r="A884" s="850"/>
      <c r="B884" s="499"/>
      <c r="C884" s="490"/>
      <c r="D884" s="490"/>
      <c r="E884" s="323"/>
      <c r="F884" s="323"/>
      <c r="G884" s="812"/>
      <c r="H884" s="490"/>
      <c r="I884" s="812"/>
      <c r="J884" s="743"/>
      <c r="K884" s="490"/>
      <c r="L884" s="490"/>
    </row>
    <row r="885" spans="1:12" s="315" customFormat="1" x14ac:dyDescent="0.25">
      <c r="A885" s="850"/>
      <c r="B885" s="499"/>
      <c r="C885" s="490"/>
      <c r="D885" s="490"/>
      <c r="E885" s="323"/>
      <c r="F885" s="323"/>
      <c r="G885" s="812"/>
      <c r="H885" s="490"/>
      <c r="I885" s="812"/>
      <c r="J885" s="743"/>
      <c r="K885" s="490"/>
      <c r="L885" s="490"/>
    </row>
    <row r="886" spans="1:12" s="315" customFormat="1" x14ac:dyDescent="0.25">
      <c r="A886" s="850"/>
      <c r="B886" s="499"/>
      <c r="C886" s="490"/>
      <c r="D886" s="490"/>
      <c r="E886" s="323"/>
      <c r="F886" s="323"/>
      <c r="G886" s="812"/>
      <c r="H886" s="490"/>
      <c r="I886" s="812"/>
      <c r="J886" s="743"/>
      <c r="K886" s="490"/>
      <c r="L886" s="490"/>
    </row>
    <row r="887" spans="1:12" s="315" customFormat="1" x14ac:dyDescent="0.25">
      <c r="A887" s="850"/>
      <c r="B887" s="499"/>
      <c r="C887" s="490"/>
      <c r="D887" s="490"/>
      <c r="E887" s="323"/>
      <c r="F887" s="323"/>
      <c r="G887" s="812"/>
      <c r="H887" s="490"/>
      <c r="I887" s="812"/>
      <c r="J887" s="743"/>
      <c r="K887" s="490"/>
      <c r="L887" s="490"/>
    </row>
    <row r="888" spans="1:12" s="315" customFormat="1" x14ac:dyDescent="0.25">
      <c r="A888" s="850"/>
      <c r="B888" s="499"/>
      <c r="C888" s="490"/>
      <c r="D888" s="490"/>
      <c r="E888" s="323"/>
      <c r="F888" s="323"/>
      <c r="G888" s="812"/>
      <c r="H888" s="490"/>
      <c r="I888" s="812"/>
      <c r="J888" s="743"/>
      <c r="K888" s="490"/>
      <c r="L888" s="490"/>
    </row>
    <row r="889" spans="1:12" s="315" customFormat="1" x14ac:dyDescent="0.25">
      <c r="A889" s="850"/>
      <c r="B889" s="499"/>
      <c r="C889" s="490"/>
      <c r="D889" s="490"/>
      <c r="E889" s="323"/>
      <c r="F889" s="323"/>
      <c r="G889" s="812"/>
      <c r="H889" s="490"/>
      <c r="I889" s="812"/>
      <c r="J889" s="743"/>
      <c r="K889" s="490"/>
      <c r="L889" s="490"/>
    </row>
    <row r="890" spans="1:12" s="315" customFormat="1" x14ac:dyDescent="0.25">
      <c r="A890" s="850"/>
      <c r="B890" s="499"/>
      <c r="C890" s="490"/>
      <c r="D890" s="490"/>
      <c r="E890" s="323"/>
      <c r="F890" s="323"/>
      <c r="G890" s="812"/>
      <c r="H890" s="490"/>
      <c r="I890" s="812"/>
      <c r="J890" s="743"/>
      <c r="K890" s="490"/>
      <c r="L890" s="490"/>
    </row>
    <row r="891" spans="1:12" s="315" customFormat="1" x14ac:dyDescent="0.25">
      <c r="A891" s="850"/>
      <c r="B891" s="499"/>
      <c r="C891" s="490"/>
      <c r="D891" s="490"/>
      <c r="E891" s="323"/>
      <c r="F891" s="323"/>
      <c r="G891" s="812"/>
      <c r="H891" s="490"/>
      <c r="I891" s="812"/>
      <c r="J891" s="743"/>
      <c r="K891" s="490"/>
      <c r="L891" s="490"/>
    </row>
    <row r="892" spans="1:12" s="315" customFormat="1" x14ac:dyDescent="0.25">
      <c r="A892" s="850"/>
      <c r="B892" s="499"/>
      <c r="C892" s="490"/>
      <c r="D892" s="490"/>
      <c r="E892" s="323"/>
      <c r="F892" s="323"/>
      <c r="G892" s="812"/>
      <c r="H892" s="490"/>
      <c r="I892" s="812"/>
      <c r="J892" s="743"/>
      <c r="K892" s="490"/>
      <c r="L892" s="490"/>
    </row>
    <row r="893" spans="1:12" s="315" customFormat="1" x14ac:dyDescent="0.25">
      <c r="A893" s="850"/>
      <c r="B893" s="499"/>
      <c r="C893" s="490"/>
      <c r="D893" s="490"/>
      <c r="E893" s="323"/>
      <c r="F893" s="323"/>
      <c r="G893" s="812"/>
      <c r="H893" s="490"/>
      <c r="I893" s="812"/>
      <c r="J893" s="743"/>
      <c r="K893" s="490"/>
      <c r="L893" s="490"/>
    </row>
    <row r="894" spans="1:12" s="315" customFormat="1" x14ac:dyDescent="0.25">
      <c r="A894" s="850"/>
      <c r="B894" s="499"/>
      <c r="C894" s="490"/>
      <c r="D894" s="490"/>
      <c r="E894" s="323"/>
      <c r="F894" s="323"/>
      <c r="G894" s="812"/>
      <c r="H894" s="490"/>
      <c r="I894" s="812"/>
      <c r="J894" s="743"/>
      <c r="K894" s="490"/>
      <c r="L894" s="490"/>
    </row>
    <row r="895" spans="1:12" s="315" customFormat="1" x14ac:dyDescent="0.25">
      <c r="A895" s="850"/>
      <c r="B895" s="499"/>
      <c r="C895" s="490"/>
      <c r="D895" s="490"/>
      <c r="E895" s="323"/>
      <c r="F895" s="323"/>
      <c r="G895" s="812"/>
      <c r="H895" s="490"/>
      <c r="I895" s="812"/>
      <c r="J895" s="743"/>
      <c r="K895" s="490"/>
      <c r="L895" s="490"/>
    </row>
    <row r="896" spans="1:12" s="315" customFormat="1" x14ac:dyDescent="0.25">
      <c r="A896" s="850"/>
      <c r="B896" s="499"/>
      <c r="C896" s="490"/>
      <c r="D896" s="490"/>
      <c r="E896" s="323"/>
      <c r="F896" s="323"/>
      <c r="G896" s="812"/>
      <c r="H896" s="490"/>
      <c r="I896" s="812"/>
      <c r="J896" s="743"/>
      <c r="K896" s="490"/>
      <c r="L896" s="490"/>
    </row>
    <row r="897" spans="1:12" s="315" customFormat="1" x14ac:dyDescent="0.25">
      <c r="A897" s="850"/>
      <c r="B897" s="499"/>
      <c r="C897" s="490"/>
      <c r="D897" s="490"/>
      <c r="E897" s="323"/>
      <c r="F897" s="323"/>
      <c r="G897" s="812"/>
      <c r="H897" s="490"/>
      <c r="I897" s="812"/>
      <c r="J897" s="743"/>
      <c r="K897" s="490"/>
      <c r="L897" s="490"/>
    </row>
    <row r="898" spans="1:12" s="315" customFormat="1" x14ac:dyDescent="0.25">
      <c r="A898" s="850"/>
      <c r="B898" s="499"/>
      <c r="C898" s="490"/>
      <c r="D898" s="490"/>
      <c r="E898" s="323"/>
      <c r="F898" s="323"/>
      <c r="G898" s="812"/>
      <c r="H898" s="490"/>
      <c r="I898" s="812"/>
      <c r="J898" s="743"/>
      <c r="K898" s="490"/>
      <c r="L898" s="490"/>
    </row>
    <row r="899" spans="1:12" s="315" customFormat="1" x14ac:dyDescent="0.25">
      <c r="A899" s="850"/>
      <c r="B899" s="499"/>
      <c r="C899" s="490"/>
      <c r="D899" s="490"/>
      <c r="E899" s="323"/>
      <c r="F899" s="323"/>
      <c r="G899" s="812"/>
      <c r="H899" s="490"/>
      <c r="I899" s="812"/>
      <c r="J899" s="743"/>
      <c r="K899" s="490"/>
      <c r="L899" s="490"/>
    </row>
    <row r="900" spans="1:12" s="315" customFormat="1" x14ac:dyDescent="0.25">
      <c r="A900" s="850"/>
      <c r="B900" s="499"/>
      <c r="C900" s="490"/>
      <c r="D900" s="490"/>
      <c r="E900" s="323"/>
      <c r="F900" s="323"/>
      <c r="G900" s="812"/>
      <c r="H900" s="490"/>
      <c r="I900" s="812"/>
      <c r="J900" s="743"/>
      <c r="K900" s="490"/>
      <c r="L900" s="490"/>
    </row>
    <row r="901" spans="1:12" s="315" customFormat="1" x14ac:dyDescent="0.25">
      <c r="A901" s="850"/>
      <c r="B901" s="499"/>
      <c r="C901" s="490"/>
      <c r="D901" s="490"/>
      <c r="E901" s="323"/>
      <c r="F901" s="323"/>
      <c r="G901" s="812"/>
      <c r="H901" s="490"/>
      <c r="I901" s="812"/>
      <c r="J901" s="743"/>
      <c r="K901" s="490"/>
      <c r="L901" s="490"/>
    </row>
    <row r="902" spans="1:12" s="315" customFormat="1" x14ac:dyDescent="0.25">
      <c r="A902" s="850"/>
      <c r="B902" s="499"/>
      <c r="C902" s="490"/>
      <c r="D902" s="490"/>
      <c r="E902" s="323"/>
      <c r="F902" s="323"/>
      <c r="G902" s="812"/>
      <c r="H902" s="490"/>
      <c r="I902" s="812"/>
      <c r="J902" s="743"/>
      <c r="K902" s="490"/>
      <c r="L902" s="490"/>
    </row>
    <row r="903" spans="1:12" s="315" customFormat="1" x14ac:dyDescent="0.25">
      <c r="A903" s="850"/>
      <c r="B903" s="499"/>
      <c r="C903" s="490"/>
      <c r="D903" s="490"/>
      <c r="E903" s="323"/>
      <c r="F903" s="323"/>
      <c r="G903" s="812"/>
      <c r="H903" s="490"/>
      <c r="I903" s="812"/>
      <c r="J903" s="743"/>
      <c r="K903" s="490"/>
      <c r="L903" s="490"/>
    </row>
    <row r="904" spans="1:12" s="315" customFormat="1" x14ac:dyDescent="0.25">
      <c r="A904" s="850"/>
      <c r="B904" s="499"/>
      <c r="C904" s="490"/>
      <c r="D904" s="490"/>
      <c r="E904" s="323"/>
      <c r="F904" s="323"/>
      <c r="G904" s="812"/>
      <c r="H904" s="490"/>
      <c r="I904" s="812"/>
      <c r="J904" s="743"/>
      <c r="K904" s="490"/>
      <c r="L904" s="490"/>
    </row>
    <row r="905" spans="1:12" s="315" customFormat="1" x14ac:dyDescent="0.25">
      <c r="A905" s="850"/>
      <c r="B905" s="499"/>
      <c r="C905" s="490"/>
      <c r="D905" s="490"/>
      <c r="E905" s="323"/>
      <c r="F905" s="323"/>
      <c r="G905" s="812"/>
      <c r="H905" s="490"/>
      <c r="I905" s="812"/>
      <c r="J905" s="743"/>
      <c r="K905" s="490"/>
      <c r="L905" s="490"/>
    </row>
    <row r="906" spans="1:12" s="315" customFormat="1" x14ac:dyDescent="0.25">
      <c r="A906" s="850"/>
      <c r="B906" s="499"/>
      <c r="C906" s="490"/>
      <c r="D906" s="490"/>
      <c r="E906" s="323"/>
      <c r="F906" s="323"/>
      <c r="G906" s="812"/>
      <c r="H906" s="490"/>
      <c r="I906" s="812"/>
      <c r="J906" s="743"/>
      <c r="K906" s="490"/>
      <c r="L906" s="490"/>
    </row>
    <row r="907" spans="1:12" s="315" customFormat="1" x14ac:dyDescent="0.25">
      <c r="A907" s="850"/>
      <c r="B907" s="499"/>
      <c r="C907" s="490"/>
      <c r="D907" s="490"/>
      <c r="E907" s="323"/>
      <c r="F907" s="323"/>
      <c r="G907" s="812"/>
      <c r="H907" s="490"/>
      <c r="I907" s="812"/>
      <c r="J907" s="743"/>
      <c r="K907" s="490"/>
      <c r="L907" s="490"/>
    </row>
    <row r="908" spans="1:12" s="315" customFormat="1" x14ac:dyDescent="0.25">
      <c r="A908" s="850"/>
      <c r="B908" s="499"/>
      <c r="C908" s="490"/>
      <c r="D908" s="490"/>
      <c r="E908" s="323"/>
      <c r="F908" s="323"/>
      <c r="G908" s="812"/>
      <c r="H908" s="490"/>
      <c r="I908" s="812"/>
      <c r="J908" s="743"/>
      <c r="K908" s="490"/>
      <c r="L908" s="490"/>
    </row>
    <row r="909" spans="1:12" s="315" customFormat="1" x14ac:dyDescent="0.25">
      <c r="A909" s="850"/>
      <c r="B909" s="499"/>
      <c r="C909" s="490"/>
      <c r="D909" s="490"/>
      <c r="E909" s="323"/>
      <c r="F909" s="323"/>
      <c r="G909" s="812"/>
      <c r="H909" s="490"/>
      <c r="I909" s="812"/>
      <c r="J909" s="743"/>
      <c r="K909" s="490"/>
      <c r="L909" s="490"/>
    </row>
    <row r="910" spans="1:12" s="315" customFormat="1" x14ac:dyDescent="0.25">
      <c r="A910" s="850"/>
      <c r="B910" s="499"/>
      <c r="C910" s="490"/>
      <c r="D910" s="490"/>
      <c r="E910" s="323"/>
      <c r="F910" s="323"/>
      <c r="G910" s="812"/>
      <c r="H910" s="490"/>
      <c r="I910" s="812"/>
      <c r="J910" s="743"/>
      <c r="K910" s="490"/>
      <c r="L910" s="490"/>
    </row>
    <row r="911" spans="1:12" s="315" customFormat="1" x14ac:dyDescent="0.25">
      <c r="A911" s="850"/>
      <c r="B911" s="499"/>
      <c r="C911" s="490"/>
      <c r="D911" s="490"/>
      <c r="E911" s="323"/>
      <c r="F911" s="323"/>
      <c r="G911" s="812"/>
      <c r="H911" s="490"/>
      <c r="I911" s="812"/>
      <c r="J911" s="743"/>
      <c r="K911" s="490"/>
      <c r="L911" s="490"/>
    </row>
    <row r="912" spans="1:12" s="315" customFormat="1" x14ac:dyDescent="0.25">
      <c r="A912" s="850"/>
      <c r="B912" s="499"/>
      <c r="C912" s="490"/>
      <c r="D912" s="490"/>
      <c r="E912" s="323"/>
      <c r="F912" s="323"/>
      <c r="G912" s="812"/>
      <c r="H912" s="490"/>
      <c r="I912" s="812"/>
      <c r="J912" s="743"/>
      <c r="K912" s="490"/>
      <c r="L912" s="490"/>
    </row>
    <row r="913" spans="1:12" s="315" customFormat="1" x14ac:dyDescent="0.25">
      <c r="A913" s="850"/>
      <c r="B913" s="499"/>
      <c r="C913" s="490"/>
      <c r="D913" s="490"/>
      <c r="E913" s="323"/>
      <c r="F913" s="323"/>
      <c r="G913" s="812"/>
      <c r="H913" s="490"/>
      <c r="I913" s="812"/>
      <c r="J913" s="743"/>
      <c r="K913" s="490"/>
      <c r="L913" s="490"/>
    </row>
    <row r="914" spans="1:12" s="315" customFormat="1" x14ac:dyDescent="0.25">
      <c r="A914" s="850"/>
      <c r="B914" s="499"/>
      <c r="C914" s="490"/>
      <c r="D914" s="490"/>
      <c r="E914" s="323"/>
      <c r="F914" s="323"/>
      <c r="G914" s="812"/>
      <c r="H914" s="490"/>
      <c r="I914" s="812"/>
      <c r="J914" s="743"/>
      <c r="K914" s="490"/>
      <c r="L914" s="490"/>
    </row>
    <row r="915" spans="1:12" s="315" customFormat="1" x14ac:dyDescent="0.25">
      <c r="A915" s="850"/>
      <c r="B915" s="499"/>
      <c r="C915" s="490"/>
      <c r="D915" s="490"/>
      <c r="E915" s="323"/>
      <c r="F915" s="323"/>
      <c r="G915" s="812"/>
      <c r="H915" s="490"/>
      <c r="I915" s="812"/>
      <c r="J915" s="743"/>
      <c r="K915" s="490"/>
      <c r="L915" s="490"/>
    </row>
    <row r="916" spans="1:12" s="315" customFormat="1" x14ac:dyDescent="0.25">
      <c r="A916" s="850"/>
      <c r="B916" s="499"/>
      <c r="C916" s="490"/>
      <c r="D916" s="490"/>
      <c r="E916" s="323"/>
      <c r="F916" s="323"/>
      <c r="G916" s="812"/>
      <c r="H916" s="490"/>
      <c r="I916" s="812"/>
      <c r="J916" s="743"/>
      <c r="K916" s="490"/>
      <c r="L916" s="490"/>
    </row>
    <row r="917" spans="1:12" s="315" customFormat="1" x14ac:dyDescent="0.25">
      <c r="A917" s="850"/>
      <c r="B917" s="499"/>
      <c r="C917" s="490"/>
      <c r="D917" s="490"/>
      <c r="E917" s="323"/>
      <c r="F917" s="323"/>
      <c r="G917" s="812"/>
      <c r="H917" s="490"/>
      <c r="I917" s="812"/>
      <c r="J917" s="743"/>
      <c r="K917" s="490"/>
      <c r="L917" s="490"/>
    </row>
    <row r="918" spans="1:12" s="315" customFormat="1" x14ac:dyDescent="0.25">
      <c r="A918" s="850"/>
      <c r="B918" s="499"/>
      <c r="C918" s="490"/>
      <c r="D918" s="490"/>
      <c r="E918" s="323"/>
      <c r="F918" s="323"/>
      <c r="G918" s="812"/>
      <c r="H918" s="490"/>
      <c r="I918" s="812"/>
      <c r="J918" s="743"/>
      <c r="K918" s="490"/>
      <c r="L918" s="490"/>
    </row>
    <row r="919" spans="1:12" s="315" customFormat="1" x14ac:dyDescent="0.25">
      <c r="A919" s="850"/>
      <c r="B919" s="499"/>
      <c r="C919" s="490"/>
      <c r="D919" s="490"/>
      <c r="E919" s="323"/>
      <c r="F919" s="323"/>
      <c r="G919" s="812"/>
      <c r="H919" s="490"/>
      <c r="I919" s="812"/>
      <c r="J919" s="743"/>
      <c r="K919" s="490"/>
      <c r="L919" s="490"/>
    </row>
    <row r="920" spans="1:12" s="315" customFormat="1" x14ac:dyDescent="0.25">
      <c r="A920" s="850"/>
      <c r="B920" s="499"/>
      <c r="C920" s="490"/>
      <c r="D920" s="490"/>
      <c r="E920" s="323"/>
      <c r="F920" s="323"/>
      <c r="G920" s="812"/>
      <c r="H920" s="490"/>
      <c r="I920" s="812"/>
      <c r="J920" s="743"/>
      <c r="K920" s="490"/>
      <c r="L920" s="490"/>
    </row>
    <row r="921" spans="1:12" s="315" customFormat="1" x14ac:dyDescent="0.25">
      <c r="A921" s="850"/>
      <c r="B921" s="499"/>
      <c r="C921" s="490"/>
      <c r="D921" s="490"/>
      <c r="E921" s="323"/>
      <c r="F921" s="323"/>
      <c r="G921" s="812"/>
      <c r="H921" s="490"/>
      <c r="I921" s="812"/>
      <c r="J921" s="743"/>
      <c r="K921" s="490"/>
      <c r="L921" s="490"/>
    </row>
    <row r="922" spans="1:12" s="315" customFormat="1" x14ac:dyDescent="0.25">
      <c r="A922" s="850"/>
      <c r="B922" s="499"/>
      <c r="C922" s="490"/>
      <c r="D922" s="490"/>
      <c r="E922" s="323"/>
      <c r="F922" s="323"/>
      <c r="G922" s="812"/>
      <c r="H922" s="490"/>
      <c r="I922" s="812"/>
      <c r="J922" s="743"/>
      <c r="K922" s="490"/>
      <c r="L922" s="490"/>
    </row>
    <row r="923" spans="1:12" s="315" customFormat="1" x14ac:dyDescent="0.25">
      <c r="A923" s="850"/>
      <c r="B923" s="499"/>
      <c r="C923" s="490"/>
      <c r="D923" s="490"/>
      <c r="E923" s="323"/>
      <c r="F923" s="323"/>
      <c r="G923" s="812"/>
      <c r="H923" s="490"/>
      <c r="I923" s="812"/>
      <c r="J923" s="743"/>
      <c r="K923" s="490"/>
      <c r="L923" s="490"/>
    </row>
    <row r="924" spans="1:12" s="315" customFormat="1" x14ac:dyDescent="0.25">
      <c r="A924" s="850"/>
      <c r="B924" s="499"/>
      <c r="C924" s="490"/>
      <c r="D924" s="490"/>
      <c r="E924" s="323"/>
      <c r="F924" s="323"/>
      <c r="G924" s="812"/>
      <c r="H924" s="490"/>
      <c r="I924" s="812"/>
      <c r="J924" s="743"/>
      <c r="K924" s="490"/>
      <c r="L924" s="490"/>
    </row>
    <row r="925" spans="1:12" s="315" customFormat="1" x14ac:dyDescent="0.25">
      <c r="A925" s="850"/>
      <c r="B925" s="499"/>
      <c r="C925" s="490"/>
      <c r="D925" s="490"/>
      <c r="E925" s="323"/>
      <c r="F925" s="323"/>
      <c r="G925" s="812"/>
      <c r="H925" s="490"/>
      <c r="I925" s="812"/>
      <c r="J925" s="743"/>
      <c r="K925" s="490"/>
      <c r="L925" s="490"/>
    </row>
    <row r="926" spans="1:12" s="315" customFormat="1" x14ac:dyDescent="0.25">
      <c r="A926" s="850"/>
      <c r="B926" s="499"/>
      <c r="C926" s="490"/>
      <c r="D926" s="490"/>
      <c r="E926" s="323"/>
      <c r="F926" s="323"/>
      <c r="G926" s="812"/>
      <c r="H926" s="490"/>
      <c r="I926" s="812"/>
      <c r="J926" s="743"/>
      <c r="K926" s="490"/>
      <c r="L926" s="490"/>
    </row>
    <row r="927" spans="1:12" s="315" customFormat="1" x14ac:dyDescent="0.25">
      <c r="A927" s="850"/>
      <c r="B927" s="499"/>
      <c r="C927" s="490"/>
      <c r="D927" s="490"/>
      <c r="E927" s="323"/>
      <c r="F927" s="323"/>
      <c r="G927" s="812"/>
      <c r="H927" s="490"/>
      <c r="I927" s="812"/>
      <c r="J927" s="743"/>
      <c r="K927" s="490"/>
      <c r="L927" s="490"/>
    </row>
    <row r="928" spans="1:12" s="315" customFormat="1" x14ac:dyDescent="0.25">
      <c r="A928" s="850"/>
      <c r="B928" s="499"/>
      <c r="C928" s="490"/>
      <c r="D928" s="490"/>
      <c r="E928" s="323"/>
      <c r="F928" s="323"/>
      <c r="G928" s="812"/>
      <c r="H928" s="490"/>
      <c r="I928" s="812"/>
      <c r="J928" s="743"/>
      <c r="K928" s="490"/>
      <c r="L928" s="490"/>
    </row>
    <row r="929" spans="1:12" s="315" customFormat="1" x14ac:dyDescent="0.25">
      <c r="A929" s="850"/>
      <c r="B929" s="499"/>
      <c r="C929" s="490"/>
      <c r="D929" s="490"/>
      <c r="E929" s="323"/>
      <c r="F929" s="323"/>
      <c r="G929" s="812"/>
      <c r="H929" s="490"/>
      <c r="I929" s="812"/>
      <c r="J929" s="743"/>
      <c r="K929" s="490"/>
      <c r="L929" s="490"/>
    </row>
    <row r="930" spans="1:12" s="315" customFormat="1" x14ac:dyDescent="0.25">
      <c r="A930" s="850"/>
      <c r="B930" s="499"/>
      <c r="C930" s="490"/>
      <c r="D930" s="490"/>
      <c r="E930" s="323"/>
      <c r="F930" s="323"/>
      <c r="G930" s="812"/>
      <c r="H930" s="490"/>
      <c r="I930" s="812"/>
      <c r="J930" s="743"/>
      <c r="K930" s="490"/>
      <c r="L930" s="490"/>
    </row>
    <row r="931" spans="1:12" s="315" customFormat="1" x14ac:dyDescent="0.25">
      <c r="A931" s="850"/>
      <c r="B931" s="499"/>
      <c r="C931" s="490"/>
      <c r="D931" s="490"/>
      <c r="E931" s="323"/>
      <c r="F931" s="323"/>
      <c r="G931" s="812"/>
      <c r="H931" s="490"/>
      <c r="I931" s="812"/>
      <c r="J931" s="743"/>
      <c r="K931" s="490"/>
      <c r="L931" s="490"/>
    </row>
    <row r="932" spans="1:12" s="315" customFormat="1" x14ac:dyDescent="0.25">
      <c r="A932" s="850"/>
      <c r="B932" s="499"/>
      <c r="C932" s="490"/>
      <c r="D932" s="490"/>
      <c r="E932" s="323"/>
      <c r="F932" s="323"/>
      <c r="G932" s="812"/>
      <c r="H932" s="490"/>
      <c r="I932" s="812"/>
      <c r="J932" s="743"/>
      <c r="K932" s="490"/>
      <c r="L932" s="490"/>
    </row>
    <row r="933" spans="1:12" s="315" customFormat="1" x14ac:dyDescent="0.25">
      <c r="A933" s="850"/>
      <c r="B933" s="499"/>
      <c r="C933" s="490"/>
      <c r="D933" s="490"/>
      <c r="E933" s="323"/>
      <c r="F933" s="323"/>
      <c r="G933" s="812"/>
      <c r="H933" s="490"/>
      <c r="I933" s="812"/>
      <c r="J933" s="743"/>
      <c r="K933" s="490"/>
      <c r="L933" s="490"/>
    </row>
    <row r="934" spans="1:12" s="315" customFormat="1" x14ac:dyDescent="0.25">
      <c r="A934" s="850"/>
      <c r="B934" s="499"/>
      <c r="C934" s="490"/>
      <c r="D934" s="490"/>
      <c r="E934" s="323"/>
      <c r="F934" s="323"/>
      <c r="G934" s="812"/>
      <c r="H934" s="490"/>
      <c r="I934" s="812"/>
      <c r="J934" s="743"/>
      <c r="K934" s="490"/>
      <c r="L934" s="490"/>
    </row>
    <row r="935" spans="1:12" s="315" customFormat="1" x14ac:dyDescent="0.25">
      <c r="A935" s="850"/>
      <c r="B935" s="499"/>
      <c r="C935" s="490"/>
      <c r="D935" s="490"/>
      <c r="E935" s="323"/>
      <c r="F935" s="323"/>
      <c r="G935" s="812"/>
      <c r="H935" s="490"/>
      <c r="I935" s="812"/>
      <c r="J935" s="743"/>
      <c r="K935" s="490"/>
      <c r="L935" s="490"/>
    </row>
    <row r="936" spans="1:12" s="315" customFormat="1" x14ac:dyDescent="0.25">
      <c r="A936" s="850"/>
      <c r="B936" s="499"/>
      <c r="C936" s="490"/>
      <c r="D936" s="490"/>
      <c r="E936" s="323"/>
      <c r="F936" s="323"/>
      <c r="G936" s="812"/>
      <c r="H936" s="490"/>
      <c r="I936" s="812"/>
      <c r="J936" s="743"/>
      <c r="K936" s="490"/>
      <c r="L936" s="490"/>
    </row>
    <row r="937" spans="1:12" s="315" customFormat="1" x14ac:dyDescent="0.25">
      <c r="A937" s="850"/>
      <c r="B937" s="499"/>
      <c r="C937" s="490"/>
      <c r="D937" s="490"/>
      <c r="E937" s="323"/>
      <c r="F937" s="323"/>
      <c r="G937" s="812"/>
      <c r="H937" s="490"/>
      <c r="I937" s="812"/>
      <c r="J937" s="743"/>
      <c r="K937" s="490"/>
      <c r="L937" s="490"/>
    </row>
    <row r="938" spans="1:12" s="315" customFormat="1" x14ac:dyDescent="0.25">
      <c r="A938" s="850"/>
      <c r="B938" s="499"/>
      <c r="C938" s="490"/>
      <c r="D938" s="490"/>
      <c r="E938" s="323"/>
      <c r="F938" s="323"/>
      <c r="G938" s="812"/>
      <c r="H938" s="490"/>
      <c r="I938" s="812"/>
      <c r="J938" s="743"/>
      <c r="K938" s="490"/>
      <c r="L938" s="490"/>
    </row>
    <row r="939" spans="1:12" s="315" customFormat="1" x14ac:dyDescent="0.25">
      <c r="A939" s="850"/>
      <c r="B939" s="499"/>
      <c r="C939" s="490"/>
      <c r="D939" s="490"/>
      <c r="E939" s="323"/>
      <c r="F939" s="323"/>
      <c r="G939" s="812"/>
      <c r="H939" s="490"/>
      <c r="I939" s="812"/>
      <c r="J939" s="743"/>
      <c r="K939" s="490"/>
      <c r="L939" s="490"/>
    </row>
    <row r="940" spans="1:12" s="315" customFormat="1" x14ac:dyDescent="0.25">
      <c r="A940" s="850"/>
      <c r="B940" s="499"/>
      <c r="C940" s="490"/>
      <c r="D940" s="490"/>
      <c r="E940" s="323"/>
      <c r="F940" s="323"/>
      <c r="G940" s="812"/>
      <c r="H940" s="490"/>
      <c r="I940" s="812"/>
      <c r="J940" s="743"/>
      <c r="K940" s="490"/>
      <c r="L940" s="490"/>
    </row>
    <row r="941" spans="1:12" s="315" customFormat="1" x14ac:dyDescent="0.25">
      <c r="A941" s="850"/>
      <c r="B941" s="499"/>
      <c r="C941" s="490"/>
      <c r="D941" s="490"/>
      <c r="E941" s="323"/>
      <c r="F941" s="323"/>
      <c r="G941" s="812"/>
      <c r="H941" s="490"/>
      <c r="I941" s="812"/>
      <c r="J941" s="743"/>
      <c r="K941" s="490"/>
      <c r="L941" s="490"/>
    </row>
    <row r="942" spans="1:12" s="315" customFormat="1" x14ac:dyDescent="0.25">
      <c r="A942" s="850"/>
      <c r="B942" s="499"/>
      <c r="C942" s="490"/>
      <c r="D942" s="490"/>
      <c r="E942" s="323"/>
      <c r="F942" s="323"/>
      <c r="G942" s="812"/>
      <c r="H942" s="490"/>
      <c r="I942" s="812"/>
      <c r="J942" s="743"/>
      <c r="K942" s="490"/>
      <c r="L942" s="490"/>
    </row>
    <row r="943" spans="1:12" s="315" customFormat="1" x14ac:dyDescent="0.25">
      <c r="A943" s="850"/>
      <c r="B943" s="499"/>
      <c r="C943" s="490"/>
      <c r="D943" s="490"/>
      <c r="E943" s="323"/>
      <c r="F943" s="323"/>
      <c r="G943" s="812"/>
      <c r="H943" s="490"/>
      <c r="I943" s="812"/>
      <c r="J943" s="743"/>
      <c r="K943" s="490"/>
      <c r="L943" s="490"/>
    </row>
    <row r="944" spans="1:12" s="315" customFormat="1" x14ac:dyDescent="0.25">
      <c r="A944" s="850"/>
      <c r="B944" s="499"/>
      <c r="C944" s="490"/>
      <c r="D944" s="490"/>
      <c r="E944" s="323"/>
      <c r="F944" s="323"/>
      <c r="G944" s="812"/>
      <c r="H944" s="490"/>
      <c r="I944" s="812"/>
      <c r="J944" s="743"/>
      <c r="K944" s="490"/>
      <c r="L944" s="490"/>
    </row>
    <row r="945" spans="1:12" s="315" customFormat="1" x14ac:dyDescent="0.25">
      <c r="A945" s="850"/>
      <c r="B945" s="499"/>
      <c r="C945" s="490"/>
      <c r="D945" s="490"/>
      <c r="E945" s="323"/>
      <c r="F945" s="323"/>
      <c r="G945" s="812"/>
      <c r="H945" s="490"/>
      <c r="I945" s="812"/>
      <c r="J945" s="743"/>
      <c r="K945" s="490"/>
      <c r="L945" s="490"/>
    </row>
    <row r="946" spans="1:12" s="315" customFormat="1" x14ac:dyDescent="0.25">
      <c r="A946" s="850"/>
      <c r="B946" s="499"/>
      <c r="C946" s="490"/>
      <c r="D946" s="490"/>
      <c r="E946" s="323"/>
      <c r="F946" s="323"/>
      <c r="G946" s="812"/>
      <c r="H946" s="490"/>
      <c r="I946" s="812"/>
      <c r="J946" s="743"/>
      <c r="K946" s="490"/>
      <c r="L946" s="490"/>
    </row>
    <row r="947" spans="1:12" s="315" customFormat="1" x14ac:dyDescent="0.25">
      <c r="A947" s="850"/>
      <c r="B947" s="499"/>
      <c r="C947" s="490"/>
      <c r="D947" s="490"/>
      <c r="E947" s="323"/>
      <c r="F947" s="323"/>
      <c r="G947" s="812"/>
      <c r="H947" s="490"/>
      <c r="I947" s="812"/>
      <c r="J947" s="743"/>
      <c r="K947" s="490"/>
      <c r="L947" s="490"/>
    </row>
    <row r="948" spans="1:12" s="315" customFormat="1" x14ac:dyDescent="0.25">
      <c r="A948" s="850"/>
      <c r="B948" s="499"/>
      <c r="C948" s="490"/>
      <c r="D948" s="490"/>
      <c r="E948" s="323"/>
      <c r="F948" s="323"/>
      <c r="G948" s="812"/>
      <c r="H948" s="490"/>
      <c r="I948" s="812"/>
      <c r="J948" s="743"/>
      <c r="K948" s="490"/>
      <c r="L948" s="490"/>
    </row>
    <row r="949" spans="1:12" s="315" customFormat="1" x14ac:dyDescent="0.25">
      <c r="A949" s="850"/>
      <c r="B949" s="499"/>
      <c r="C949" s="490"/>
      <c r="D949" s="490"/>
      <c r="E949" s="323"/>
      <c r="F949" s="323"/>
      <c r="G949" s="812"/>
      <c r="H949" s="490"/>
      <c r="I949" s="812"/>
      <c r="J949" s="743"/>
      <c r="K949" s="490"/>
      <c r="L949" s="490"/>
    </row>
    <row r="950" spans="1:12" s="315" customFormat="1" x14ac:dyDescent="0.25">
      <c r="A950" s="850"/>
      <c r="B950" s="499"/>
      <c r="C950" s="490"/>
      <c r="D950" s="490"/>
      <c r="E950" s="323"/>
      <c r="F950" s="323"/>
      <c r="G950" s="812"/>
      <c r="H950" s="490"/>
      <c r="I950" s="812"/>
      <c r="J950" s="743"/>
      <c r="K950" s="490"/>
      <c r="L950" s="490"/>
    </row>
    <row r="951" spans="1:12" s="315" customFormat="1" x14ac:dyDescent="0.25">
      <c r="A951" s="850"/>
      <c r="B951" s="499"/>
      <c r="C951" s="490"/>
      <c r="D951" s="490"/>
      <c r="E951" s="323"/>
      <c r="F951" s="323"/>
      <c r="G951" s="812"/>
      <c r="H951" s="490"/>
      <c r="I951" s="812"/>
      <c r="J951" s="743"/>
      <c r="K951" s="490"/>
      <c r="L951" s="490"/>
    </row>
    <row r="952" spans="1:12" s="315" customFormat="1" x14ac:dyDescent="0.25">
      <c r="A952" s="850"/>
      <c r="B952" s="499"/>
      <c r="C952" s="490"/>
      <c r="D952" s="490"/>
      <c r="E952" s="323"/>
      <c r="F952" s="323"/>
      <c r="G952" s="812"/>
      <c r="H952" s="490"/>
      <c r="I952" s="812"/>
      <c r="J952" s="743"/>
      <c r="K952" s="490"/>
      <c r="L952" s="490"/>
    </row>
    <row r="953" spans="1:12" s="315" customFormat="1" x14ac:dyDescent="0.25">
      <c r="A953" s="850"/>
      <c r="B953" s="499"/>
      <c r="C953" s="490"/>
      <c r="D953" s="490"/>
      <c r="E953" s="323"/>
      <c r="F953" s="323"/>
      <c r="G953" s="812"/>
      <c r="H953" s="490"/>
      <c r="I953" s="812"/>
      <c r="J953" s="743"/>
      <c r="K953" s="490"/>
      <c r="L953" s="490"/>
    </row>
    <row r="954" spans="1:12" s="315" customFormat="1" x14ac:dyDescent="0.25">
      <c r="A954" s="850"/>
      <c r="B954" s="499"/>
      <c r="C954" s="490"/>
      <c r="D954" s="490"/>
      <c r="E954" s="323"/>
      <c r="F954" s="323"/>
      <c r="G954" s="812"/>
      <c r="H954" s="490"/>
      <c r="I954" s="812"/>
      <c r="J954" s="743"/>
      <c r="K954" s="490"/>
      <c r="L954" s="490"/>
    </row>
    <row r="955" spans="1:12" s="315" customFormat="1" x14ac:dyDescent="0.25">
      <c r="A955" s="850"/>
      <c r="B955" s="499"/>
      <c r="C955" s="490"/>
      <c r="D955" s="490"/>
      <c r="E955" s="323"/>
      <c r="F955" s="323"/>
      <c r="G955" s="812"/>
      <c r="H955" s="490"/>
      <c r="I955" s="812"/>
      <c r="J955" s="743"/>
      <c r="K955" s="490"/>
      <c r="L955" s="490"/>
    </row>
    <row r="956" spans="1:12" s="315" customFormat="1" x14ac:dyDescent="0.25">
      <c r="A956" s="850"/>
      <c r="B956" s="499"/>
      <c r="C956" s="490"/>
      <c r="D956" s="490"/>
      <c r="E956" s="323"/>
      <c r="F956" s="323"/>
      <c r="G956" s="812"/>
      <c r="H956" s="490"/>
      <c r="I956" s="812"/>
      <c r="J956" s="743"/>
      <c r="K956" s="490"/>
      <c r="L956" s="490"/>
    </row>
    <row r="957" spans="1:12" s="315" customFormat="1" x14ac:dyDescent="0.25">
      <c r="A957" s="850"/>
      <c r="B957" s="499"/>
      <c r="C957" s="490"/>
      <c r="D957" s="490"/>
      <c r="E957" s="323"/>
      <c r="F957" s="323"/>
      <c r="G957" s="812"/>
      <c r="H957" s="490"/>
      <c r="I957" s="812"/>
      <c r="J957" s="743"/>
      <c r="K957" s="490"/>
      <c r="L957" s="490"/>
    </row>
    <row r="958" spans="1:12" s="315" customFormat="1" x14ac:dyDescent="0.25">
      <c r="A958" s="850"/>
      <c r="B958" s="499"/>
      <c r="C958" s="490"/>
      <c r="D958" s="490"/>
      <c r="E958" s="323"/>
      <c r="F958" s="323"/>
      <c r="G958" s="812"/>
      <c r="H958" s="490"/>
      <c r="I958" s="812"/>
      <c r="J958" s="743"/>
      <c r="K958" s="490"/>
      <c r="L958" s="490"/>
    </row>
    <row r="959" spans="1:12" s="315" customFormat="1" x14ac:dyDescent="0.25">
      <c r="A959" s="850"/>
      <c r="B959" s="499"/>
      <c r="C959" s="490"/>
      <c r="D959" s="490"/>
      <c r="E959" s="323"/>
      <c r="F959" s="323"/>
      <c r="G959" s="812"/>
      <c r="H959" s="490"/>
      <c r="I959" s="812"/>
      <c r="J959" s="743"/>
      <c r="K959" s="490"/>
      <c r="L959" s="490"/>
    </row>
    <row r="960" spans="1:12" s="315" customFormat="1" x14ac:dyDescent="0.25">
      <c r="A960" s="850"/>
      <c r="B960" s="499"/>
      <c r="C960" s="490"/>
      <c r="D960" s="490"/>
      <c r="E960" s="323"/>
      <c r="F960" s="323"/>
      <c r="G960" s="812"/>
      <c r="H960" s="490"/>
      <c r="I960" s="812"/>
      <c r="J960" s="743"/>
      <c r="K960" s="490"/>
      <c r="L960" s="490"/>
    </row>
    <row r="961" spans="1:12" s="315" customFormat="1" x14ac:dyDescent="0.25">
      <c r="A961" s="850"/>
      <c r="B961" s="499"/>
      <c r="C961" s="490"/>
      <c r="D961" s="490"/>
      <c r="E961" s="323"/>
      <c r="F961" s="323"/>
      <c r="G961" s="812"/>
      <c r="H961" s="490"/>
      <c r="I961" s="812"/>
      <c r="J961" s="743"/>
      <c r="K961" s="490"/>
      <c r="L961" s="490"/>
    </row>
    <row r="962" spans="1:12" s="315" customFormat="1" x14ac:dyDescent="0.25">
      <c r="A962" s="850"/>
      <c r="B962" s="499"/>
      <c r="C962" s="490"/>
      <c r="D962" s="490"/>
      <c r="E962" s="323"/>
      <c r="F962" s="323"/>
      <c r="G962" s="812"/>
      <c r="H962" s="490"/>
      <c r="I962" s="812"/>
      <c r="J962" s="743"/>
      <c r="K962" s="490"/>
      <c r="L962" s="490"/>
    </row>
    <row r="963" spans="1:12" s="315" customFormat="1" x14ac:dyDescent="0.25">
      <c r="A963" s="850"/>
      <c r="B963" s="499"/>
      <c r="C963" s="490"/>
      <c r="D963" s="490"/>
      <c r="E963" s="323"/>
      <c r="F963" s="323"/>
      <c r="G963" s="812"/>
      <c r="H963" s="490"/>
      <c r="I963" s="812"/>
      <c r="J963" s="743"/>
      <c r="K963" s="490"/>
      <c r="L963" s="490"/>
    </row>
    <row r="964" spans="1:12" s="315" customFormat="1" x14ac:dyDescent="0.25">
      <c r="A964" s="850"/>
      <c r="B964" s="499"/>
      <c r="C964" s="490"/>
      <c r="D964" s="490"/>
      <c r="E964" s="323"/>
      <c r="F964" s="323"/>
      <c r="G964" s="812"/>
      <c r="H964" s="490"/>
      <c r="I964" s="812"/>
      <c r="J964" s="743"/>
      <c r="K964" s="490"/>
      <c r="L964" s="490"/>
    </row>
    <row r="965" spans="1:12" s="315" customFormat="1" x14ac:dyDescent="0.25">
      <c r="A965" s="850"/>
      <c r="B965" s="499"/>
      <c r="C965" s="490"/>
      <c r="D965" s="490"/>
      <c r="E965" s="323"/>
      <c r="F965" s="323"/>
      <c r="G965" s="812"/>
      <c r="H965" s="490"/>
      <c r="I965" s="812"/>
      <c r="J965" s="743"/>
      <c r="K965" s="490"/>
      <c r="L965" s="490"/>
    </row>
    <row r="966" spans="1:12" s="315" customFormat="1" x14ac:dyDescent="0.25">
      <c r="A966" s="850"/>
      <c r="B966" s="499"/>
      <c r="C966" s="490"/>
      <c r="D966" s="490"/>
      <c r="E966" s="323"/>
      <c r="F966" s="323"/>
      <c r="G966" s="812"/>
      <c r="H966" s="490"/>
      <c r="I966" s="812"/>
      <c r="J966" s="743"/>
      <c r="K966" s="490"/>
      <c r="L966" s="490"/>
    </row>
    <row r="967" spans="1:12" s="315" customFormat="1" x14ac:dyDescent="0.25">
      <c r="A967" s="850"/>
      <c r="B967" s="499"/>
      <c r="C967" s="490"/>
      <c r="D967" s="490"/>
      <c r="E967" s="323"/>
      <c r="F967" s="323"/>
      <c r="G967" s="812"/>
      <c r="H967" s="490"/>
      <c r="I967" s="812"/>
      <c r="J967" s="743"/>
      <c r="K967" s="490"/>
      <c r="L967" s="490"/>
    </row>
    <row r="968" spans="1:12" s="315" customFormat="1" x14ac:dyDescent="0.25">
      <c r="A968" s="850"/>
      <c r="B968" s="499"/>
      <c r="C968" s="490"/>
      <c r="D968" s="490"/>
      <c r="E968" s="323"/>
      <c r="F968" s="323"/>
      <c r="G968" s="812"/>
      <c r="H968" s="490"/>
      <c r="I968" s="812"/>
      <c r="J968" s="743"/>
      <c r="K968" s="490"/>
      <c r="L968" s="490"/>
    </row>
    <row r="969" spans="1:12" s="315" customFormat="1" x14ac:dyDescent="0.25">
      <c r="A969" s="850"/>
      <c r="B969" s="499"/>
      <c r="C969" s="490"/>
      <c r="D969" s="490"/>
      <c r="E969" s="323"/>
      <c r="F969" s="323"/>
      <c r="G969" s="812"/>
      <c r="H969" s="490"/>
      <c r="I969" s="812"/>
      <c r="J969" s="743"/>
      <c r="K969" s="490"/>
      <c r="L969" s="490"/>
    </row>
    <row r="970" spans="1:12" s="315" customFormat="1" x14ac:dyDescent="0.25">
      <c r="A970" s="850"/>
      <c r="B970" s="499"/>
      <c r="C970" s="490"/>
      <c r="D970" s="490"/>
      <c r="E970" s="323"/>
      <c r="F970" s="323"/>
      <c r="G970" s="812"/>
      <c r="H970" s="490"/>
      <c r="I970" s="812"/>
      <c r="J970" s="743"/>
      <c r="K970" s="490"/>
      <c r="L970" s="490"/>
    </row>
    <row r="971" spans="1:12" s="315" customFormat="1" x14ac:dyDescent="0.25">
      <c r="A971" s="850"/>
      <c r="B971" s="499"/>
      <c r="C971" s="490"/>
      <c r="D971" s="490"/>
      <c r="E971" s="323"/>
      <c r="F971" s="323"/>
      <c r="G971" s="812"/>
      <c r="H971" s="490"/>
      <c r="I971" s="812"/>
      <c r="J971" s="743"/>
      <c r="K971" s="490"/>
      <c r="L971" s="490"/>
    </row>
    <row r="972" spans="1:12" s="315" customFormat="1" x14ac:dyDescent="0.25">
      <c r="A972" s="850"/>
      <c r="B972" s="499"/>
      <c r="C972" s="490"/>
      <c r="D972" s="490"/>
      <c r="E972" s="323"/>
      <c r="F972" s="323"/>
      <c r="G972" s="812"/>
      <c r="H972" s="490"/>
      <c r="I972" s="812"/>
      <c r="J972" s="743"/>
      <c r="K972" s="490"/>
      <c r="L972" s="490"/>
    </row>
    <row r="973" spans="1:12" s="315" customFormat="1" x14ac:dyDescent="0.25">
      <c r="A973" s="850"/>
      <c r="B973" s="499"/>
      <c r="C973" s="490"/>
      <c r="D973" s="490"/>
      <c r="E973" s="323"/>
      <c r="F973" s="323"/>
      <c r="G973" s="812"/>
      <c r="H973" s="490"/>
      <c r="I973" s="812"/>
      <c r="J973" s="743"/>
      <c r="K973" s="490"/>
      <c r="L973" s="490"/>
    </row>
    <row r="974" spans="1:12" s="315" customFormat="1" x14ac:dyDescent="0.25">
      <c r="A974" s="850"/>
      <c r="B974" s="499"/>
      <c r="C974" s="490"/>
      <c r="D974" s="490"/>
      <c r="E974" s="323"/>
      <c r="F974" s="323"/>
      <c r="G974" s="812"/>
      <c r="H974" s="490"/>
      <c r="I974" s="812"/>
      <c r="J974" s="743"/>
      <c r="K974" s="490"/>
      <c r="L974" s="490"/>
    </row>
    <row r="975" spans="1:12" s="315" customFormat="1" x14ac:dyDescent="0.25">
      <c r="A975" s="850"/>
      <c r="B975" s="499"/>
      <c r="C975" s="490"/>
      <c r="D975" s="490"/>
      <c r="E975" s="323"/>
      <c r="F975" s="323"/>
      <c r="G975" s="812"/>
      <c r="H975" s="490"/>
      <c r="I975" s="812"/>
      <c r="J975" s="743"/>
      <c r="K975" s="490"/>
      <c r="L975" s="490"/>
    </row>
    <row r="976" spans="1:12" s="315" customFormat="1" x14ac:dyDescent="0.25">
      <c r="A976" s="850"/>
      <c r="B976" s="499"/>
      <c r="C976" s="490"/>
      <c r="D976" s="490"/>
      <c r="E976" s="323"/>
      <c r="F976" s="323"/>
      <c r="G976" s="812"/>
      <c r="H976" s="490"/>
      <c r="I976" s="812"/>
      <c r="J976" s="743"/>
      <c r="K976" s="490"/>
      <c r="L976" s="490"/>
    </row>
    <row r="977" spans="1:12" s="315" customFormat="1" x14ac:dyDescent="0.25">
      <c r="A977" s="850"/>
      <c r="B977" s="499"/>
      <c r="C977" s="490"/>
      <c r="D977" s="490"/>
      <c r="E977" s="323"/>
      <c r="F977" s="323"/>
      <c r="G977" s="812"/>
      <c r="H977" s="490"/>
      <c r="I977" s="812"/>
      <c r="J977" s="743"/>
      <c r="K977" s="490"/>
      <c r="L977" s="490"/>
    </row>
    <row r="978" spans="1:12" s="315" customFormat="1" x14ac:dyDescent="0.25">
      <c r="A978" s="850"/>
      <c r="B978" s="499"/>
      <c r="C978" s="490"/>
      <c r="D978" s="490"/>
      <c r="E978" s="323"/>
      <c r="F978" s="323"/>
      <c r="G978" s="812"/>
      <c r="H978" s="490"/>
      <c r="I978" s="812"/>
      <c r="J978" s="743"/>
      <c r="K978" s="490"/>
      <c r="L978" s="490"/>
    </row>
    <row r="979" spans="1:12" s="315" customFormat="1" x14ac:dyDescent="0.25">
      <c r="A979" s="850"/>
      <c r="B979" s="499"/>
      <c r="C979" s="490"/>
      <c r="D979" s="490"/>
      <c r="E979" s="323"/>
      <c r="F979" s="323"/>
      <c r="G979" s="812"/>
      <c r="H979" s="490"/>
      <c r="I979" s="812"/>
      <c r="J979" s="743"/>
      <c r="K979" s="490"/>
      <c r="L979" s="490"/>
    </row>
    <row r="980" spans="1:12" s="315" customFormat="1" x14ac:dyDescent="0.25">
      <c r="A980" s="850"/>
      <c r="B980" s="499"/>
      <c r="C980" s="490"/>
      <c r="D980" s="490"/>
      <c r="E980" s="323"/>
      <c r="F980" s="323"/>
      <c r="G980" s="812"/>
      <c r="H980" s="490"/>
      <c r="I980" s="812"/>
      <c r="J980" s="743"/>
      <c r="K980" s="490"/>
      <c r="L980" s="490"/>
    </row>
    <row r="981" spans="1:12" s="315" customFormat="1" x14ac:dyDescent="0.25">
      <c r="A981" s="850"/>
      <c r="B981" s="499"/>
      <c r="C981" s="490"/>
      <c r="D981" s="490"/>
      <c r="E981" s="323"/>
      <c r="F981" s="323"/>
      <c r="G981" s="812"/>
      <c r="H981" s="490"/>
      <c r="I981" s="812"/>
      <c r="J981" s="743"/>
      <c r="K981" s="490"/>
      <c r="L981" s="490"/>
    </row>
    <row r="982" spans="1:12" s="315" customFormat="1" x14ac:dyDescent="0.25">
      <c r="A982" s="850"/>
      <c r="B982" s="499"/>
      <c r="C982" s="490"/>
      <c r="D982" s="490"/>
      <c r="E982" s="323"/>
      <c r="F982" s="323"/>
      <c r="G982" s="812"/>
      <c r="H982" s="490"/>
      <c r="I982" s="812"/>
      <c r="J982" s="743"/>
      <c r="K982" s="490"/>
      <c r="L982" s="490"/>
    </row>
    <row r="983" spans="1:12" s="315" customFormat="1" x14ac:dyDescent="0.25">
      <c r="A983" s="850"/>
      <c r="B983" s="499"/>
      <c r="C983" s="490"/>
      <c r="D983" s="490"/>
      <c r="E983" s="323"/>
      <c r="F983" s="323"/>
      <c r="G983" s="812"/>
      <c r="H983" s="490"/>
      <c r="I983" s="812"/>
      <c r="J983" s="743"/>
      <c r="K983" s="490"/>
      <c r="L983" s="490"/>
    </row>
    <row r="984" spans="1:12" s="315" customFormat="1" x14ac:dyDescent="0.25">
      <c r="A984" s="850"/>
      <c r="B984" s="499"/>
      <c r="C984" s="490"/>
      <c r="D984" s="490"/>
      <c r="E984" s="323"/>
      <c r="F984" s="323"/>
      <c r="G984" s="812"/>
      <c r="H984" s="490"/>
      <c r="I984" s="812"/>
      <c r="J984" s="743"/>
      <c r="K984" s="490"/>
      <c r="L984" s="490"/>
    </row>
    <row r="985" spans="1:12" s="315" customFormat="1" x14ac:dyDescent="0.25">
      <c r="A985" s="850"/>
      <c r="B985" s="499"/>
      <c r="C985" s="490"/>
      <c r="D985" s="490"/>
      <c r="E985" s="323"/>
      <c r="F985" s="323"/>
      <c r="G985" s="812"/>
      <c r="H985" s="490"/>
      <c r="I985" s="812"/>
      <c r="J985" s="743"/>
      <c r="K985" s="490"/>
      <c r="L985" s="490"/>
    </row>
    <row r="986" spans="1:12" s="315" customFormat="1" x14ac:dyDescent="0.25">
      <c r="A986" s="850"/>
      <c r="B986" s="499"/>
      <c r="C986" s="490"/>
      <c r="D986" s="490"/>
      <c r="E986" s="323"/>
      <c r="F986" s="323"/>
      <c r="G986" s="812"/>
      <c r="H986" s="490"/>
      <c r="I986" s="812"/>
      <c r="J986" s="743"/>
      <c r="K986" s="490"/>
      <c r="L986" s="490"/>
    </row>
    <row r="987" spans="1:12" s="315" customFormat="1" x14ac:dyDescent="0.25">
      <c r="A987" s="850"/>
      <c r="B987" s="499"/>
      <c r="C987" s="490"/>
      <c r="D987" s="490"/>
      <c r="E987" s="323"/>
      <c r="F987" s="323"/>
      <c r="G987" s="812"/>
      <c r="H987" s="490"/>
      <c r="I987" s="812"/>
      <c r="J987" s="743"/>
      <c r="K987" s="490"/>
      <c r="L987" s="490"/>
    </row>
    <row r="988" spans="1:12" s="315" customFormat="1" x14ac:dyDescent="0.25">
      <c r="A988" s="850"/>
      <c r="B988" s="499"/>
      <c r="C988" s="490"/>
      <c r="D988" s="490"/>
      <c r="E988" s="323"/>
      <c r="F988" s="323"/>
      <c r="G988" s="812"/>
      <c r="H988" s="490"/>
      <c r="I988" s="812"/>
      <c r="J988" s="743"/>
      <c r="K988" s="490"/>
      <c r="L988" s="490"/>
    </row>
    <row r="989" spans="1:12" s="315" customFormat="1" x14ac:dyDescent="0.25">
      <c r="A989" s="850"/>
      <c r="B989" s="499"/>
      <c r="C989" s="490"/>
      <c r="D989" s="490"/>
      <c r="E989" s="323"/>
      <c r="F989" s="323"/>
      <c r="G989" s="812"/>
      <c r="H989" s="490"/>
      <c r="I989" s="812"/>
      <c r="J989" s="743"/>
      <c r="K989" s="490"/>
      <c r="L989" s="490"/>
    </row>
    <row r="990" spans="1:12" s="315" customFormat="1" x14ac:dyDescent="0.25">
      <c r="A990" s="850"/>
      <c r="B990" s="499"/>
      <c r="C990" s="490"/>
      <c r="D990" s="490"/>
      <c r="E990" s="323"/>
      <c r="F990" s="323"/>
      <c r="G990" s="812"/>
      <c r="H990" s="490"/>
      <c r="I990" s="812"/>
      <c r="J990" s="743"/>
      <c r="K990" s="490"/>
      <c r="L990" s="490"/>
    </row>
    <row r="991" spans="1:12" s="315" customFormat="1" x14ac:dyDescent="0.25">
      <c r="A991" s="850"/>
      <c r="B991" s="499"/>
      <c r="C991" s="490"/>
      <c r="D991" s="490"/>
      <c r="E991" s="323"/>
      <c r="F991" s="323"/>
      <c r="G991" s="812"/>
      <c r="H991" s="490"/>
      <c r="I991" s="812"/>
      <c r="J991" s="743"/>
      <c r="K991" s="490"/>
      <c r="L991" s="490"/>
    </row>
    <row r="992" spans="1:12" s="315" customFormat="1" x14ac:dyDescent="0.25">
      <c r="A992" s="850"/>
      <c r="B992" s="499"/>
      <c r="C992" s="490"/>
      <c r="D992" s="490"/>
      <c r="E992" s="323"/>
      <c r="F992" s="323"/>
      <c r="G992" s="812"/>
      <c r="H992" s="490"/>
      <c r="I992" s="812"/>
      <c r="J992" s="743"/>
      <c r="K992" s="490"/>
      <c r="L992" s="490"/>
    </row>
    <row r="993" spans="1:12" s="315" customFormat="1" x14ac:dyDescent="0.25">
      <c r="A993" s="850"/>
      <c r="B993" s="499"/>
      <c r="C993" s="490"/>
      <c r="D993" s="490"/>
      <c r="E993" s="323"/>
      <c r="F993" s="323"/>
      <c r="G993" s="812"/>
      <c r="H993" s="490"/>
      <c r="I993" s="812"/>
      <c r="J993" s="743"/>
      <c r="K993" s="490"/>
      <c r="L993" s="490"/>
    </row>
    <row r="994" spans="1:12" s="315" customFormat="1" x14ac:dyDescent="0.25">
      <c r="A994" s="850"/>
      <c r="B994" s="499"/>
      <c r="C994" s="490"/>
      <c r="D994" s="490"/>
      <c r="E994" s="323"/>
      <c r="F994" s="323"/>
      <c r="G994" s="812"/>
      <c r="H994" s="490"/>
      <c r="I994" s="812"/>
      <c r="J994" s="743"/>
      <c r="K994" s="490"/>
      <c r="L994" s="490"/>
    </row>
    <row r="995" spans="1:12" s="315" customFormat="1" x14ac:dyDescent="0.25">
      <c r="A995" s="850"/>
      <c r="B995" s="499"/>
      <c r="C995" s="490"/>
      <c r="D995" s="490"/>
      <c r="E995" s="323"/>
      <c r="F995" s="323"/>
      <c r="G995" s="812"/>
      <c r="H995" s="490"/>
      <c r="I995" s="812"/>
      <c r="J995" s="743"/>
      <c r="K995" s="490"/>
      <c r="L995" s="490"/>
    </row>
    <row r="996" spans="1:12" s="315" customFormat="1" x14ac:dyDescent="0.25">
      <c r="A996" s="850"/>
      <c r="B996" s="499"/>
      <c r="C996" s="490"/>
      <c r="D996" s="490"/>
      <c r="E996" s="323"/>
      <c r="F996" s="323"/>
      <c r="G996" s="812"/>
      <c r="H996" s="490"/>
      <c r="I996" s="812"/>
      <c r="J996" s="743"/>
      <c r="K996" s="490"/>
      <c r="L996" s="490"/>
    </row>
    <row r="997" spans="1:12" s="315" customFormat="1" x14ac:dyDescent="0.25">
      <c r="A997" s="850"/>
      <c r="B997" s="499"/>
      <c r="C997" s="490"/>
      <c r="D997" s="490"/>
      <c r="E997" s="323"/>
      <c r="F997" s="323"/>
      <c r="G997" s="812"/>
      <c r="H997" s="490"/>
      <c r="I997" s="812"/>
      <c r="J997" s="743"/>
      <c r="K997" s="490"/>
      <c r="L997" s="490"/>
    </row>
    <row r="998" spans="1:12" s="315" customFormat="1" x14ac:dyDescent="0.25">
      <c r="A998" s="850"/>
      <c r="B998" s="499"/>
      <c r="C998" s="490"/>
      <c r="D998" s="490"/>
      <c r="E998" s="323"/>
      <c r="F998" s="323"/>
      <c r="G998" s="812"/>
      <c r="H998" s="490"/>
      <c r="I998" s="812"/>
      <c r="J998" s="743"/>
      <c r="K998" s="490"/>
      <c r="L998" s="490"/>
    </row>
    <row r="999" spans="1:12" s="315" customFormat="1" x14ac:dyDescent="0.25">
      <c r="A999" s="850"/>
      <c r="B999" s="499"/>
      <c r="C999" s="490"/>
      <c r="D999" s="490"/>
      <c r="E999" s="323"/>
      <c r="F999" s="323"/>
      <c r="G999" s="812"/>
      <c r="H999" s="490"/>
      <c r="I999" s="812"/>
      <c r="J999" s="743"/>
      <c r="K999" s="490"/>
      <c r="L999" s="490"/>
    </row>
    <row r="1000" spans="1:12" s="315" customFormat="1" x14ac:dyDescent="0.25">
      <c r="A1000" s="850"/>
      <c r="B1000" s="499"/>
      <c r="C1000" s="490"/>
      <c r="D1000" s="490"/>
      <c r="E1000" s="323"/>
      <c r="F1000" s="323"/>
      <c r="G1000" s="812"/>
      <c r="H1000" s="490"/>
      <c r="I1000" s="812"/>
      <c r="J1000" s="743"/>
      <c r="K1000" s="490"/>
      <c r="L1000" s="490"/>
    </row>
    <row r="1001" spans="1:12" s="315" customFormat="1" x14ac:dyDescent="0.25">
      <c r="A1001" s="850"/>
      <c r="B1001" s="499"/>
      <c r="C1001" s="490"/>
      <c r="D1001" s="490"/>
      <c r="E1001" s="323"/>
      <c r="F1001" s="323"/>
      <c r="G1001" s="812"/>
      <c r="H1001" s="490"/>
      <c r="I1001" s="812"/>
      <c r="J1001" s="743"/>
      <c r="K1001" s="490"/>
      <c r="L1001" s="490"/>
    </row>
    <row r="1002" spans="1:12" s="315" customFormat="1" x14ac:dyDescent="0.25">
      <c r="A1002" s="850"/>
      <c r="B1002" s="499"/>
      <c r="C1002" s="490"/>
      <c r="D1002" s="490"/>
      <c r="E1002" s="323"/>
      <c r="F1002" s="323"/>
      <c r="G1002" s="812"/>
      <c r="H1002" s="490"/>
      <c r="I1002" s="812"/>
      <c r="J1002" s="743"/>
      <c r="K1002" s="490"/>
      <c r="L1002" s="490"/>
    </row>
    <row r="1003" spans="1:12" s="315" customFormat="1" x14ac:dyDescent="0.25">
      <c r="A1003" s="850"/>
      <c r="B1003" s="499"/>
      <c r="C1003" s="490"/>
      <c r="D1003" s="490"/>
      <c r="E1003" s="323"/>
      <c r="F1003" s="323"/>
      <c r="G1003" s="812"/>
      <c r="H1003" s="490"/>
      <c r="I1003" s="812"/>
      <c r="J1003" s="743"/>
      <c r="K1003" s="490"/>
      <c r="L1003" s="490"/>
    </row>
    <row r="1004" spans="1:12" s="315" customFormat="1" x14ac:dyDescent="0.25">
      <c r="A1004" s="850"/>
      <c r="B1004" s="499"/>
      <c r="C1004" s="490"/>
      <c r="D1004" s="490"/>
      <c r="E1004" s="323"/>
      <c r="F1004" s="323"/>
      <c r="G1004" s="812"/>
      <c r="H1004" s="490"/>
      <c r="I1004" s="812"/>
      <c r="J1004" s="743"/>
      <c r="K1004" s="490"/>
      <c r="L1004" s="490"/>
    </row>
    <row r="1005" spans="1:12" s="315" customFormat="1" x14ac:dyDescent="0.25">
      <c r="A1005" s="850"/>
      <c r="B1005" s="499"/>
      <c r="C1005" s="490"/>
      <c r="D1005" s="490"/>
      <c r="E1005" s="323"/>
      <c r="F1005" s="323"/>
      <c r="G1005" s="812"/>
      <c r="H1005" s="490"/>
      <c r="I1005" s="812"/>
      <c r="J1005" s="743"/>
      <c r="K1005" s="490"/>
      <c r="L1005" s="490"/>
    </row>
    <row r="1006" spans="1:12" s="315" customFormat="1" x14ac:dyDescent="0.25">
      <c r="A1006" s="850"/>
      <c r="B1006" s="499"/>
      <c r="C1006" s="490"/>
      <c r="D1006" s="490"/>
      <c r="E1006" s="323"/>
      <c r="F1006" s="323"/>
      <c r="G1006" s="812"/>
      <c r="H1006" s="490"/>
      <c r="I1006" s="812"/>
      <c r="J1006" s="743"/>
      <c r="K1006" s="490"/>
      <c r="L1006" s="490"/>
    </row>
    <row r="1007" spans="1:12" s="315" customFormat="1" x14ac:dyDescent="0.25">
      <c r="A1007" s="850"/>
      <c r="B1007" s="499"/>
      <c r="C1007" s="490"/>
      <c r="D1007" s="490"/>
      <c r="E1007" s="323"/>
      <c r="F1007" s="323"/>
      <c r="G1007" s="812"/>
      <c r="H1007" s="490"/>
      <c r="I1007" s="812"/>
      <c r="J1007" s="743"/>
      <c r="K1007" s="490"/>
      <c r="L1007" s="490"/>
    </row>
    <row r="1008" spans="1:12" s="315" customFormat="1" x14ac:dyDescent="0.25">
      <c r="A1008" s="850"/>
      <c r="B1008" s="499"/>
      <c r="C1008" s="490"/>
      <c r="D1008" s="490"/>
      <c r="E1008" s="323"/>
      <c r="F1008" s="323"/>
      <c r="G1008" s="812"/>
      <c r="H1008" s="490"/>
      <c r="I1008" s="812"/>
      <c r="J1008" s="743"/>
      <c r="K1008" s="490"/>
      <c r="L1008" s="490"/>
    </row>
    <row r="1009" spans="1:12" s="315" customFormat="1" x14ac:dyDescent="0.25">
      <c r="A1009" s="850"/>
      <c r="B1009" s="499"/>
      <c r="C1009" s="490"/>
      <c r="D1009" s="490"/>
      <c r="E1009" s="323"/>
      <c r="F1009" s="323"/>
      <c r="G1009" s="812"/>
      <c r="H1009" s="490"/>
      <c r="I1009" s="812"/>
      <c r="J1009" s="743"/>
      <c r="K1009" s="490"/>
      <c r="L1009" s="490"/>
    </row>
    <row r="1010" spans="1:12" s="315" customFormat="1" x14ac:dyDescent="0.25">
      <c r="A1010" s="850"/>
      <c r="B1010" s="499"/>
      <c r="C1010" s="490"/>
      <c r="D1010" s="490"/>
      <c r="E1010" s="323"/>
      <c r="F1010" s="323"/>
      <c r="G1010" s="812"/>
      <c r="H1010" s="490"/>
      <c r="I1010" s="812"/>
      <c r="J1010" s="743"/>
      <c r="K1010" s="490"/>
      <c r="L1010" s="490"/>
    </row>
    <row r="1011" spans="1:12" s="315" customFormat="1" x14ac:dyDescent="0.25">
      <c r="A1011" s="850"/>
      <c r="B1011" s="499"/>
      <c r="C1011" s="490"/>
      <c r="D1011" s="490"/>
      <c r="E1011" s="323"/>
      <c r="F1011" s="323"/>
      <c r="G1011" s="812"/>
      <c r="H1011" s="490"/>
      <c r="I1011" s="812"/>
      <c r="J1011" s="743"/>
      <c r="K1011" s="490"/>
      <c r="L1011" s="490"/>
    </row>
    <row r="1012" spans="1:12" s="315" customFormat="1" x14ac:dyDescent="0.25">
      <c r="A1012" s="850"/>
      <c r="B1012" s="499"/>
      <c r="C1012" s="490"/>
      <c r="D1012" s="490"/>
      <c r="E1012" s="323"/>
      <c r="F1012" s="323"/>
      <c r="G1012" s="812"/>
      <c r="H1012" s="490"/>
      <c r="I1012" s="812"/>
      <c r="J1012" s="743"/>
      <c r="K1012" s="490"/>
      <c r="L1012" s="490"/>
    </row>
    <row r="1013" spans="1:12" s="315" customFormat="1" x14ac:dyDescent="0.25">
      <c r="A1013" s="850"/>
      <c r="B1013" s="499"/>
      <c r="C1013" s="490"/>
      <c r="D1013" s="490"/>
      <c r="E1013" s="323"/>
      <c r="F1013" s="323"/>
      <c r="G1013" s="812"/>
      <c r="H1013" s="490"/>
      <c r="I1013" s="812"/>
      <c r="J1013" s="743"/>
      <c r="K1013" s="490"/>
      <c r="L1013" s="490"/>
    </row>
    <row r="1014" spans="1:12" s="315" customFormat="1" x14ac:dyDescent="0.25">
      <c r="A1014" s="850"/>
      <c r="B1014" s="499"/>
      <c r="C1014" s="490"/>
      <c r="D1014" s="490"/>
      <c r="E1014" s="323"/>
      <c r="F1014" s="323"/>
      <c r="G1014" s="812"/>
      <c r="H1014" s="490"/>
      <c r="I1014" s="812"/>
      <c r="J1014" s="743"/>
      <c r="K1014" s="490"/>
      <c r="L1014" s="490"/>
    </row>
    <row r="1015" spans="1:12" s="315" customFormat="1" x14ac:dyDescent="0.25">
      <c r="A1015" s="850"/>
      <c r="B1015" s="499"/>
      <c r="C1015" s="490"/>
      <c r="D1015" s="490"/>
      <c r="E1015" s="323"/>
      <c r="F1015" s="323"/>
      <c r="G1015" s="812"/>
      <c r="H1015" s="490"/>
      <c r="I1015" s="812"/>
      <c r="J1015" s="743"/>
      <c r="K1015" s="490"/>
      <c r="L1015" s="490"/>
    </row>
    <row r="1016" spans="1:12" s="315" customFormat="1" x14ac:dyDescent="0.25">
      <c r="A1016" s="850"/>
      <c r="B1016" s="499"/>
      <c r="C1016" s="490"/>
      <c r="D1016" s="490"/>
      <c r="E1016" s="323"/>
      <c r="F1016" s="323"/>
      <c r="G1016" s="812"/>
      <c r="H1016" s="490"/>
      <c r="I1016" s="812"/>
      <c r="J1016" s="743"/>
      <c r="K1016" s="490"/>
      <c r="L1016" s="490"/>
    </row>
    <row r="1017" spans="1:12" s="315" customFormat="1" x14ac:dyDescent="0.25">
      <c r="A1017" s="850"/>
      <c r="B1017" s="499"/>
      <c r="C1017" s="490"/>
      <c r="D1017" s="490"/>
      <c r="E1017" s="323"/>
      <c r="F1017" s="323"/>
      <c r="G1017" s="812"/>
      <c r="H1017" s="490"/>
      <c r="I1017" s="812"/>
      <c r="J1017" s="743"/>
      <c r="K1017" s="490"/>
      <c r="L1017" s="490"/>
    </row>
    <row r="1018" spans="1:12" s="315" customFormat="1" x14ac:dyDescent="0.25">
      <c r="A1018" s="850"/>
      <c r="B1018" s="499"/>
      <c r="C1018" s="490"/>
      <c r="D1018" s="490"/>
      <c r="E1018" s="323"/>
      <c r="F1018" s="323"/>
      <c r="G1018" s="812"/>
      <c r="H1018" s="490"/>
      <c r="I1018" s="812"/>
      <c r="J1018" s="743"/>
      <c r="K1018" s="490"/>
      <c r="L1018" s="490"/>
    </row>
    <row r="1019" spans="1:12" s="315" customFormat="1" x14ac:dyDescent="0.25">
      <c r="A1019" s="850"/>
      <c r="B1019" s="499"/>
      <c r="C1019" s="490"/>
      <c r="D1019" s="490"/>
      <c r="E1019" s="323"/>
      <c r="F1019" s="323"/>
      <c r="G1019" s="812"/>
      <c r="H1019" s="490"/>
      <c r="I1019" s="812"/>
      <c r="J1019" s="743"/>
      <c r="K1019" s="490"/>
      <c r="L1019" s="490"/>
    </row>
    <row r="1020" spans="1:12" s="315" customFormat="1" x14ac:dyDescent="0.25">
      <c r="A1020" s="850"/>
      <c r="B1020" s="499"/>
      <c r="C1020" s="490"/>
      <c r="D1020" s="490"/>
      <c r="E1020" s="323"/>
      <c r="F1020" s="323"/>
      <c r="G1020" s="812"/>
      <c r="H1020" s="490"/>
      <c r="I1020" s="812"/>
      <c r="J1020" s="743"/>
      <c r="K1020" s="490"/>
      <c r="L1020" s="490"/>
    </row>
    <row r="1021" spans="1:12" s="315" customFormat="1" x14ac:dyDescent="0.25">
      <c r="A1021" s="850"/>
      <c r="B1021" s="499"/>
      <c r="C1021" s="490"/>
      <c r="D1021" s="490"/>
      <c r="E1021" s="323"/>
      <c r="F1021" s="323"/>
      <c r="G1021" s="812"/>
      <c r="H1021" s="490"/>
      <c r="I1021" s="812"/>
      <c r="J1021" s="743"/>
      <c r="K1021" s="490"/>
      <c r="L1021" s="490"/>
    </row>
    <row r="1022" spans="1:12" s="315" customFormat="1" x14ac:dyDescent="0.25">
      <c r="A1022" s="850"/>
      <c r="B1022" s="499"/>
      <c r="C1022" s="490"/>
      <c r="D1022" s="490"/>
      <c r="E1022" s="323"/>
      <c r="F1022" s="323"/>
      <c r="G1022" s="812"/>
      <c r="H1022" s="490"/>
      <c r="I1022" s="812"/>
      <c r="J1022" s="743"/>
      <c r="K1022" s="490"/>
      <c r="L1022" s="490"/>
    </row>
    <row r="1023" spans="1:12" s="315" customFormat="1" x14ac:dyDescent="0.25">
      <c r="A1023" s="850"/>
      <c r="B1023" s="499"/>
      <c r="C1023" s="490"/>
      <c r="D1023" s="490"/>
      <c r="E1023" s="323"/>
      <c r="F1023" s="323"/>
      <c r="G1023" s="812"/>
      <c r="H1023" s="490"/>
      <c r="I1023" s="812"/>
      <c r="J1023" s="743"/>
      <c r="K1023" s="490"/>
      <c r="L1023" s="490"/>
    </row>
    <row r="1024" spans="1:12" s="315" customFormat="1" x14ac:dyDescent="0.25">
      <c r="A1024" s="850"/>
      <c r="B1024" s="499"/>
      <c r="C1024" s="490"/>
      <c r="D1024" s="490"/>
      <c r="E1024" s="323"/>
      <c r="F1024" s="323"/>
      <c r="G1024" s="812"/>
      <c r="H1024" s="490"/>
      <c r="I1024" s="812"/>
      <c r="J1024" s="743"/>
      <c r="K1024" s="490"/>
      <c r="L1024" s="490"/>
    </row>
    <row r="1025" spans="1:12" s="315" customFormat="1" x14ac:dyDescent="0.25">
      <c r="A1025" s="850"/>
      <c r="B1025" s="499"/>
      <c r="C1025" s="490"/>
      <c r="D1025" s="490"/>
      <c r="E1025" s="323"/>
      <c r="F1025" s="323"/>
      <c r="G1025" s="812"/>
      <c r="H1025" s="490"/>
      <c r="I1025" s="812"/>
      <c r="J1025" s="743"/>
      <c r="K1025" s="490"/>
      <c r="L1025" s="490"/>
    </row>
    <row r="1026" spans="1:12" s="315" customFormat="1" x14ac:dyDescent="0.25">
      <c r="A1026" s="850"/>
      <c r="B1026" s="499"/>
      <c r="C1026" s="490"/>
      <c r="D1026" s="490"/>
      <c r="E1026" s="323"/>
      <c r="F1026" s="323"/>
      <c r="G1026" s="812"/>
      <c r="H1026" s="490"/>
      <c r="I1026" s="812"/>
      <c r="J1026" s="743"/>
      <c r="K1026" s="490"/>
      <c r="L1026" s="490"/>
    </row>
    <row r="1027" spans="1:12" s="315" customFormat="1" x14ac:dyDescent="0.25">
      <c r="A1027" s="850"/>
      <c r="B1027" s="499"/>
      <c r="C1027" s="490"/>
      <c r="D1027" s="490"/>
      <c r="E1027" s="323"/>
      <c r="F1027" s="323"/>
      <c r="G1027" s="812"/>
      <c r="H1027" s="490"/>
      <c r="I1027" s="812"/>
      <c r="J1027" s="743"/>
      <c r="K1027" s="490"/>
      <c r="L1027" s="490"/>
    </row>
    <row r="1028" spans="1:12" s="315" customFormat="1" x14ac:dyDescent="0.25">
      <c r="A1028" s="850"/>
      <c r="B1028" s="499"/>
      <c r="C1028" s="490"/>
      <c r="D1028" s="490"/>
      <c r="E1028" s="323"/>
      <c r="F1028" s="323"/>
      <c r="G1028" s="812"/>
      <c r="H1028" s="490"/>
      <c r="I1028" s="812"/>
      <c r="J1028" s="743"/>
      <c r="K1028" s="490"/>
      <c r="L1028" s="490"/>
    </row>
    <row r="1029" spans="1:12" s="315" customFormat="1" x14ac:dyDescent="0.25">
      <c r="A1029" s="850"/>
      <c r="B1029" s="499"/>
      <c r="C1029" s="490"/>
      <c r="D1029" s="490"/>
      <c r="E1029" s="323"/>
      <c r="F1029" s="323"/>
      <c r="G1029" s="812"/>
      <c r="H1029" s="490"/>
      <c r="I1029" s="812"/>
      <c r="J1029" s="743"/>
      <c r="K1029" s="490"/>
      <c r="L1029" s="490"/>
    </row>
    <row r="1030" spans="1:12" s="315" customFormat="1" x14ac:dyDescent="0.25">
      <c r="A1030" s="850"/>
      <c r="B1030" s="499"/>
      <c r="C1030" s="490"/>
      <c r="D1030" s="490"/>
      <c r="E1030" s="323"/>
      <c r="F1030" s="323"/>
      <c r="G1030" s="812"/>
      <c r="H1030" s="490"/>
      <c r="I1030" s="812"/>
      <c r="J1030" s="743"/>
      <c r="K1030" s="490"/>
      <c r="L1030" s="490"/>
    </row>
    <row r="1031" spans="1:12" s="315" customFormat="1" x14ac:dyDescent="0.25">
      <c r="A1031" s="850"/>
      <c r="B1031" s="499"/>
      <c r="C1031" s="490"/>
      <c r="D1031" s="490"/>
      <c r="E1031" s="323"/>
      <c r="F1031" s="323"/>
      <c r="G1031" s="812"/>
      <c r="H1031" s="490"/>
      <c r="I1031" s="812"/>
      <c r="J1031" s="743"/>
      <c r="K1031" s="490"/>
      <c r="L1031" s="490"/>
    </row>
    <row r="1032" spans="1:12" s="315" customFormat="1" x14ac:dyDescent="0.25">
      <c r="A1032" s="850"/>
      <c r="B1032" s="499"/>
      <c r="C1032" s="490"/>
      <c r="D1032" s="490"/>
      <c r="E1032" s="323"/>
      <c r="F1032" s="323"/>
      <c r="G1032" s="812"/>
      <c r="H1032" s="490"/>
      <c r="I1032" s="812"/>
      <c r="J1032" s="743"/>
      <c r="K1032" s="490"/>
      <c r="L1032" s="490"/>
    </row>
    <row r="1033" spans="1:12" s="315" customFormat="1" x14ac:dyDescent="0.25">
      <c r="A1033" s="850"/>
      <c r="B1033" s="499"/>
      <c r="C1033" s="490"/>
      <c r="D1033" s="490"/>
      <c r="E1033" s="323"/>
      <c r="F1033" s="323"/>
      <c r="G1033" s="812"/>
      <c r="H1033" s="490"/>
      <c r="I1033" s="812"/>
      <c r="J1033" s="743"/>
      <c r="K1033" s="490"/>
      <c r="L1033" s="490"/>
    </row>
    <row r="1034" spans="1:12" s="315" customFormat="1" x14ac:dyDescent="0.25">
      <c r="A1034" s="850"/>
      <c r="B1034" s="499"/>
      <c r="C1034" s="490"/>
      <c r="D1034" s="490"/>
      <c r="E1034" s="323"/>
      <c r="F1034" s="323"/>
      <c r="G1034" s="812"/>
      <c r="H1034" s="490"/>
      <c r="I1034" s="812"/>
      <c r="J1034" s="743"/>
      <c r="K1034" s="490"/>
      <c r="L1034" s="490"/>
    </row>
    <row r="1035" spans="1:12" s="315" customFormat="1" x14ac:dyDescent="0.25">
      <c r="A1035" s="850"/>
      <c r="B1035" s="499"/>
      <c r="C1035" s="490"/>
      <c r="D1035" s="490"/>
      <c r="E1035" s="323"/>
      <c r="F1035" s="323"/>
      <c r="G1035" s="812"/>
      <c r="H1035" s="490"/>
      <c r="I1035" s="812"/>
      <c r="J1035" s="743"/>
      <c r="K1035" s="490"/>
      <c r="L1035" s="490"/>
    </row>
    <row r="1036" spans="1:12" s="315" customFormat="1" x14ac:dyDescent="0.25">
      <c r="A1036" s="850"/>
      <c r="B1036" s="499"/>
      <c r="C1036" s="490"/>
      <c r="D1036" s="490"/>
      <c r="E1036" s="323"/>
      <c r="F1036" s="323"/>
      <c r="G1036" s="812"/>
      <c r="H1036" s="490"/>
      <c r="I1036" s="812"/>
      <c r="J1036" s="743"/>
      <c r="K1036" s="490"/>
      <c r="L1036" s="490"/>
    </row>
    <row r="1037" spans="1:12" s="315" customFormat="1" x14ac:dyDescent="0.25">
      <c r="A1037" s="850"/>
      <c r="B1037" s="499"/>
      <c r="C1037" s="490"/>
      <c r="D1037" s="490"/>
      <c r="E1037" s="323"/>
      <c r="F1037" s="323"/>
      <c r="G1037" s="812"/>
      <c r="H1037" s="490"/>
      <c r="I1037" s="812"/>
      <c r="J1037" s="743"/>
      <c r="K1037" s="490"/>
      <c r="L1037" s="490"/>
    </row>
    <row r="1038" spans="1:12" s="315" customFormat="1" x14ac:dyDescent="0.25">
      <c r="A1038" s="850"/>
      <c r="B1038" s="499"/>
      <c r="C1038" s="490"/>
      <c r="D1038" s="490"/>
      <c r="E1038" s="323"/>
      <c r="F1038" s="323"/>
      <c r="G1038" s="812"/>
      <c r="H1038" s="490"/>
      <c r="I1038" s="812"/>
      <c r="J1038" s="743"/>
      <c r="K1038" s="490"/>
      <c r="L1038" s="490"/>
    </row>
    <row r="1039" spans="1:12" s="315" customFormat="1" x14ac:dyDescent="0.25">
      <c r="A1039" s="850"/>
      <c r="B1039" s="499"/>
      <c r="C1039" s="490"/>
      <c r="D1039" s="490"/>
      <c r="E1039" s="323"/>
      <c r="F1039" s="323"/>
      <c r="G1039" s="812"/>
      <c r="H1039" s="490"/>
      <c r="I1039" s="812"/>
      <c r="J1039" s="743"/>
      <c r="K1039" s="490"/>
      <c r="L1039" s="490"/>
    </row>
    <row r="1040" spans="1:12" s="315" customFormat="1" x14ac:dyDescent="0.25">
      <c r="A1040" s="850"/>
      <c r="B1040" s="499"/>
      <c r="C1040" s="490"/>
      <c r="D1040" s="490"/>
      <c r="E1040" s="323"/>
      <c r="F1040" s="323"/>
      <c r="G1040" s="812"/>
      <c r="H1040" s="490"/>
      <c r="I1040" s="812"/>
      <c r="J1040" s="743"/>
      <c r="K1040" s="490"/>
      <c r="L1040" s="490"/>
    </row>
    <row r="1041" spans="1:12" s="315" customFormat="1" x14ac:dyDescent="0.25">
      <c r="A1041" s="850"/>
      <c r="B1041" s="499"/>
      <c r="C1041" s="490"/>
      <c r="D1041" s="490"/>
      <c r="E1041" s="323"/>
      <c r="F1041" s="323"/>
      <c r="G1041" s="812"/>
      <c r="H1041" s="490"/>
      <c r="I1041" s="812"/>
      <c r="J1041" s="743"/>
      <c r="K1041" s="490"/>
      <c r="L1041" s="490"/>
    </row>
    <row r="1042" spans="1:12" s="315" customFormat="1" x14ac:dyDescent="0.25">
      <c r="A1042" s="850"/>
      <c r="B1042" s="499"/>
      <c r="C1042" s="490"/>
      <c r="D1042" s="490"/>
      <c r="E1042" s="323"/>
      <c r="F1042" s="323"/>
      <c r="G1042" s="812"/>
      <c r="H1042" s="490"/>
      <c r="I1042" s="812"/>
      <c r="J1042" s="743"/>
      <c r="K1042" s="490"/>
      <c r="L1042" s="490"/>
    </row>
    <row r="1043" spans="1:12" s="315" customFormat="1" x14ac:dyDescent="0.25">
      <c r="A1043" s="850"/>
      <c r="B1043" s="499"/>
      <c r="C1043" s="490"/>
      <c r="D1043" s="490"/>
      <c r="E1043" s="323"/>
      <c r="F1043" s="323"/>
      <c r="G1043" s="812"/>
      <c r="H1043" s="490"/>
      <c r="I1043" s="812"/>
      <c r="J1043" s="743"/>
      <c r="K1043" s="490"/>
      <c r="L1043" s="490"/>
    </row>
    <row r="1044" spans="1:12" s="315" customFormat="1" x14ac:dyDescent="0.25">
      <c r="A1044" s="850"/>
      <c r="B1044" s="499"/>
      <c r="C1044" s="490"/>
      <c r="D1044" s="490"/>
      <c r="E1044" s="323"/>
      <c r="F1044" s="323"/>
      <c r="G1044" s="812"/>
      <c r="H1044" s="490"/>
      <c r="I1044" s="812"/>
      <c r="J1044" s="743"/>
      <c r="K1044" s="490"/>
      <c r="L1044" s="490"/>
    </row>
    <row r="1045" spans="1:12" s="315" customFormat="1" x14ac:dyDescent="0.25">
      <c r="A1045" s="850"/>
      <c r="B1045" s="499"/>
      <c r="C1045" s="490"/>
      <c r="D1045" s="490"/>
      <c r="E1045" s="323"/>
      <c r="F1045" s="323"/>
      <c r="G1045" s="812"/>
      <c r="H1045" s="490"/>
      <c r="I1045" s="812"/>
      <c r="J1045" s="743"/>
      <c r="K1045" s="490"/>
      <c r="L1045" s="490"/>
    </row>
    <row r="1046" spans="1:12" s="315" customFormat="1" x14ac:dyDescent="0.25">
      <c r="A1046" s="850"/>
      <c r="B1046" s="499"/>
      <c r="C1046" s="490"/>
      <c r="D1046" s="490"/>
      <c r="E1046" s="323"/>
      <c r="F1046" s="323"/>
      <c r="G1046" s="812"/>
      <c r="H1046" s="490"/>
      <c r="I1046" s="812"/>
      <c r="J1046" s="743"/>
      <c r="K1046" s="490"/>
      <c r="L1046" s="490"/>
    </row>
    <row r="1047" spans="1:12" s="315" customFormat="1" x14ac:dyDescent="0.25">
      <c r="A1047" s="850"/>
      <c r="B1047" s="499"/>
      <c r="C1047" s="490"/>
      <c r="D1047" s="490"/>
      <c r="E1047" s="323"/>
      <c r="F1047" s="323"/>
      <c r="G1047" s="812"/>
      <c r="H1047" s="490"/>
      <c r="I1047" s="812"/>
      <c r="J1047" s="743"/>
      <c r="K1047" s="490"/>
      <c r="L1047" s="490"/>
    </row>
    <row r="1048" spans="1:12" s="315" customFormat="1" x14ac:dyDescent="0.25">
      <c r="A1048" s="850"/>
      <c r="B1048" s="499"/>
      <c r="C1048" s="490"/>
      <c r="D1048" s="490"/>
      <c r="E1048" s="323"/>
      <c r="F1048" s="323"/>
      <c r="G1048" s="812"/>
      <c r="H1048" s="490"/>
      <c r="I1048" s="812"/>
      <c r="J1048" s="743"/>
      <c r="K1048" s="490"/>
      <c r="L1048" s="490"/>
    </row>
    <row r="1049" spans="1:12" s="315" customFormat="1" x14ac:dyDescent="0.25">
      <c r="A1049" s="850"/>
      <c r="B1049" s="499"/>
      <c r="C1049" s="490"/>
      <c r="D1049" s="490"/>
      <c r="E1049" s="323"/>
      <c r="F1049" s="323"/>
      <c r="G1049" s="812"/>
      <c r="H1049" s="490"/>
      <c r="I1049" s="812"/>
      <c r="J1049" s="743"/>
      <c r="K1049" s="490"/>
      <c r="L1049" s="490"/>
    </row>
    <row r="1050" spans="1:12" s="315" customFormat="1" x14ac:dyDescent="0.25">
      <c r="A1050" s="850"/>
      <c r="B1050" s="499"/>
      <c r="C1050" s="490"/>
      <c r="D1050" s="490"/>
      <c r="E1050" s="323"/>
      <c r="F1050" s="323"/>
      <c r="G1050" s="812"/>
      <c r="H1050" s="490"/>
      <c r="I1050" s="812"/>
      <c r="J1050" s="743"/>
      <c r="K1050" s="490"/>
      <c r="L1050" s="490"/>
    </row>
    <row r="1051" spans="1:12" s="315" customFormat="1" x14ac:dyDescent="0.25">
      <c r="A1051" s="850"/>
      <c r="B1051" s="499"/>
      <c r="C1051" s="490"/>
      <c r="D1051" s="490"/>
      <c r="E1051" s="323"/>
      <c r="F1051" s="323"/>
      <c r="G1051" s="812"/>
      <c r="H1051" s="490"/>
      <c r="I1051" s="812"/>
      <c r="J1051" s="743"/>
      <c r="K1051" s="490"/>
      <c r="L1051" s="490"/>
    </row>
    <row r="1052" spans="1:12" s="315" customFormat="1" x14ac:dyDescent="0.25">
      <c r="A1052" s="850"/>
      <c r="B1052" s="499"/>
      <c r="C1052" s="490"/>
      <c r="D1052" s="490"/>
      <c r="E1052" s="323"/>
      <c r="F1052" s="323"/>
      <c r="G1052" s="812"/>
      <c r="H1052" s="490"/>
      <c r="I1052" s="812"/>
      <c r="J1052" s="743"/>
      <c r="K1052" s="490"/>
      <c r="L1052" s="490"/>
    </row>
    <row r="1053" spans="1:12" s="315" customFormat="1" x14ac:dyDescent="0.25">
      <c r="A1053" s="850"/>
      <c r="B1053" s="499"/>
      <c r="C1053" s="490"/>
      <c r="D1053" s="490"/>
      <c r="E1053" s="323"/>
      <c r="F1053" s="323"/>
      <c r="G1053" s="812"/>
      <c r="H1053" s="490"/>
      <c r="I1053" s="812"/>
      <c r="J1053" s="743"/>
      <c r="K1053" s="490"/>
      <c r="L1053" s="490"/>
    </row>
    <row r="1054" spans="1:12" s="315" customFormat="1" x14ac:dyDescent="0.25">
      <c r="A1054" s="850"/>
      <c r="B1054" s="499"/>
      <c r="C1054" s="490"/>
      <c r="D1054" s="490"/>
      <c r="E1054" s="323"/>
      <c r="F1054" s="323"/>
      <c r="G1054" s="812"/>
      <c r="H1054" s="490"/>
      <c r="I1054" s="812"/>
      <c r="J1054" s="743"/>
      <c r="K1054" s="490"/>
      <c r="L1054" s="490"/>
    </row>
    <row r="1055" spans="1:12" s="315" customFormat="1" x14ac:dyDescent="0.25">
      <c r="A1055" s="850"/>
      <c r="B1055" s="499"/>
      <c r="C1055" s="490"/>
      <c r="D1055" s="490"/>
      <c r="E1055" s="323"/>
      <c r="F1055" s="323"/>
      <c r="G1055" s="812"/>
      <c r="H1055" s="490"/>
      <c r="I1055" s="812"/>
      <c r="J1055" s="743"/>
      <c r="K1055" s="490"/>
      <c r="L1055" s="490"/>
    </row>
    <row r="1056" spans="1:12" s="315" customFormat="1" x14ac:dyDescent="0.25">
      <c r="A1056" s="850"/>
      <c r="B1056" s="499"/>
      <c r="C1056" s="490"/>
      <c r="D1056" s="490"/>
      <c r="E1056" s="323"/>
      <c r="F1056" s="323"/>
      <c r="G1056" s="812"/>
      <c r="H1056" s="490"/>
      <c r="I1056" s="812"/>
      <c r="J1056" s="743"/>
      <c r="K1056" s="490"/>
      <c r="L1056" s="490"/>
    </row>
    <row r="1057" spans="1:12" s="315" customFormat="1" x14ac:dyDescent="0.25">
      <c r="A1057" s="850"/>
      <c r="B1057" s="499"/>
      <c r="C1057" s="490"/>
      <c r="D1057" s="490"/>
      <c r="E1057" s="323"/>
      <c r="F1057" s="323"/>
      <c r="G1057" s="812"/>
      <c r="H1057" s="490"/>
      <c r="I1057" s="812"/>
      <c r="J1057" s="743"/>
      <c r="K1057" s="490"/>
      <c r="L1057" s="490"/>
    </row>
    <row r="1058" spans="1:12" s="315" customFormat="1" x14ac:dyDescent="0.25">
      <c r="A1058" s="850"/>
      <c r="B1058" s="499"/>
      <c r="C1058" s="490"/>
      <c r="D1058" s="490"/>
      <c r="E1058" s="323"/>
      <c r="F1058" s="323"/>
      <c r="G1058" s="812"/>
      <c r="H1058" s="490"/>
      <c r="I1058" s="812"/>
      <c r="J1058" s="743"/>
      <c r="K1058" s="490"/>
      <c r="L1058" s="490"/>
    </row>
    <row r="1059" spans="1:12" s="315" customFormat="1" x14ac:dyDescent="0.25">
      <c r="A1059" s="850"/>
      <c r="B1059" s="499"/>
      <c r="C1059" s="490"/>
      <c r="D1059" s="490"/>
      <c r="E1059" s="323"/>
      <c r="F1059" s="323"/>
      <c r="G1059" s="812"/>
      <c r="H1059" s="490"/>
      <c r="I1059" s="812"/>
      <c r="J1059" s="743"/>
      <c r="K1059" s="490"/>
      <c r="L1059" s="490"/>
    </row>
    <row r="1060" spans="1:12" s="315" customFormat="1" x14ac:dyDescent="0.25">
      <c r="A1060" s="850"/>
      <c r="B1060" s="499"/>
      <c r="C1060" s="490"/>
      <c r="D1060" s="490"/>
      <c r="E1060" s="323"/>
      <c r="F1060" s="323"/>
      <c r="G1060" s="812"/>
      <c r="H1060" s="490"/>
      <c r="I1060" s="812"/>
      <c r="J1060" s="743"/>
      <c r="K1060" s="490"/>
      <c r="L1060" s="490"/>
    </row>
    <row r="1061" spans="1:12" s="315" customFormat="1" x14ac:dyDescent="0.25">
      <c r="A1061" s="850"/>
      <c r="B1061" s="499"/>
      <c r="C1061" s="490"/>
      <c r="D1061" s="490"/>
      <c r="E1061" s="323"/>
      <c r="F1061" s="323"/>
      <c r="G1061" s="812"/>
      <c r="H1061" s="490"/>
      <c r="I1061" s="812"/>
      <c r="J1061" s="743"/>
      <c r="K1061" s="490"/>
      <c r="L1061" s="490"/>
    </row>
    <row r="1062" spans="1:12" s="315" customFormat="1" x14ac:dyDescent="0.25">
      <c r="A1062" s="850"/>
      <c r="B1062" s="499"/>
      <c r="C1062" s="490"/>
      <c r="D1062" s="490"/>
      <c r="E1062" s="323"/>
      <c r="F1062" s="323"/>
      <c r="G1062" s="812"/>
      <c r="H1062" s="490"/>
      <c r="I1062" s="812"/>
      <c r="J1062" s="743"/>
      <c r="K1062" s="490"/>
      <c r="L1062" s="490"/>
    </row>
    <row r="1063" spans="1:12" s="315" customFormat="1" x14ac:dyDescent="0.25">
      <c r="A1063" s="850"/>
      <c r="B1063" s="499"/>
      <c r="C1063" s="490"/>
      <c r="D1063" s="490"/>
      <c r="E1063" s="323"/>
      <c r="F1063" s="323"/>
      <c r="G1063" s="812"/>
      <c r="H1063" s="490"/>
      <c r="I1063" s="812"/>
      <c r="J1063" s="743"/>
      <c r="K1063" s="490"/>
      <c r="L1063" s="490"/>
    </row>
    <row r="1064" spans="1:12" s="315" customFormat="1" x14ac:dyDescent="0.25">
      <c r="A1064" s="850"/>
      <c r="B1064" s="499"/>
      <c r="C1064" s="490"/>
      <c r="D1064" s="490"/>
      <c r="E1064" s="323"/>
      <c r="F1064" s="323"/>
      <c r="G1064" s="812"/>
      <c r="H1064" s="490"/>
      <c r="I1064" s="812"/>
      <c r="J1064" s="743"/>
      <c r="K1064" s="490"/>
      <c r="L1064" s="490"/>
    </row>
    <row r="1065" spans="1:12" s="315" customFormat="1" x14ac:dyDescent="0.25">
      <c r="A1065" s="850"/>
      <c r="B1065" s="499"/>
      <c r="C1065" s="490"/>
      <c r="D1065" s="490"/>
      <c r="E1065" s="323"/>
      <c r="F1065" s="323"/>
      <c r="G1065" s="812"/>
      <c r="H1065" s="490"/>
      <c r="I1065" s="812"/>
      <c r="J1065" s="743"/>
      <c r="K1065" s="490"/>
      <c r="L1065" s="490"/>
    </row>
    <row r="1066" spans="1:12" s="315" customFormat="1" x14ac:dyDescent="0.25">
      <c r="A1066" s="850"/>
      <c r="B1066" s="499"/>
      <c r="C1066" s="490"/>
      <c r="D1066" s="490"/>
      <c r="E1066" s="323"/>
      <c r="F1066" s="323"/>
      <c r="G1066" s="812"/>
      <c r="H1066" s="490"/>
      <c r="I1066" s="812"/>
      <c r="J1066" s="743"/>
      <c r="K1066" s="490"/>
      <c r="L1066" s="490"/>
    </row>
    <row r="1067" spans="1:12" s="315" customFormat="1" x14ac:dyDescent="0.25">
      <c r="A1067" s="850"/>
      <c r="B1067" s="499"/>
      <c r="C1067" s="490"/>
      <c r="D1067" s="490"/>
      <c r="E1067" s="323"/>
      <c r="F1067" s="323"/>
      <c r="G1067" s="812"/>
      <c r="H1067" s="490"/>
      <c r="I1067" s="812"/>
      <c r="J1067" s="743"/>
      <c r="K1067" s="490"/>
      <c r="L1067" s="490"/>
    </row>
    <row r="1068" spans="1:12" s="315" customFormat="1" x14ac:dyDescent="0.25">
      <c r="A1068" s="850"/>
      <c r="B1068" s="499"/>
      <c r="C1068" s="490"/>
      <c r="D1068" s="490"/>
      <c r="E1068" s="323"/>
      <c r="F1068" s="323"/>
      <c r="G1068" s="812"/>
      <c r="H1068" s="490"/>
      <c r="I1068" s="812"/>
      <c r="J1068" s="743"/>
      <c r="K1068" s="490"/>
      <c r="L1068" s="490"/>
    </row>
    <row r="1069" spans="1:12" s="315" customFormat="1" x14ac:dyDescent="0.25">
      <c r="A1069" s="850"/>
      <c r="B1069" s="499"/>
      <c r="C1069" s="490"/>
      <c r="D1069" s="490"/>
      <c r="E1069" s="323"/>
      <c r="F1069" s="323"/>
      <c r="G1069" s="812"/>
      <c r="H1069" s="490"/>
      <c r="I1069" s="812"/>
      <c r="J1069" s="743"/>
      <c r="K1069" s="490"/>
      <c r="L1069" s="490"/>
    </row>
    <row r="1070" spans="1:12" s="315" customFormat="1" x14ac:dyDescent="0.25">
      <c r="A1070" s="850"/>
      <c r="B1070" s="499"/>
      <c r="C1070" s="490"/>
      <c r="D1070" s="490"/>
      <c r="E1070" s="323"/>
      <c r="F1070" s="323"/>
      <c r="G1070" s="812"/>
      <c r="H1070" s="490"/>
      <c r="I1070" s="812"/>
      <c r="J1070" s="743"/>
      <c r="K1070" s="490"/>
      <c r="L1070" s="490"/>
    </row>
    <row r="1071" spans="1:12" s="315" customFormat="1" x14ac:dyDescent="0.25">
      <c r="A1071" s="850"/>
      <c r="B1071" s="499"/>
      <c r="C1071" s="490"/>
      <c r="D1071" s="490"/>
      <c r="E1071" s="323"/>
      <c r="F1071" s="323"/>
      <c r="G1071" s="812"/>
      <c r="H1071" s="490"/>
      <c r="I1071" s="812"/>
      <c r="J1071" s="743"/>
      <c r="K1071" s="490"/>
      <c r="L1071" s="490"/>
    </row>
    <row r="1072" spans="1:12" s="315" customFormat="1" x14ac:dyDescent="0.25">
      <c r="A1072" s="850"/>
      <c r="B1072" s="499"/>
      <c r="C1072" s="490"/>
      <c r="D1072" s="490"/>
      <c r="E1072" s="323"/>
      <c r="F1072" s="323"/>
      <c r="G1072" s="812"/>
      <c r="H1072" s="490"/>
      <c r="I1072" s="812"/>
      <c r="J1072" s="743"/>
      <c r="K1072" s="490"/>
      <c r="L1072" s="490"/>
    </row>
    <row r="1073" spans="1:12" s="315" customFormat="1" x14ac:dyDescent="0.25">
      <c r="A1073" s="850"/>
      <c r="B1073" s="499"/>
      <c r="C1073" s="490"/>
      <c r="D1073" s="490"/>
      <c r="E1073" s="323"/>
      <c r="F1073" s="323"/>
      <c r="G1073" s="812"/>
      <c r="H1073" s="490"/>
      <c r="I1073" s="812"/>
      <c r="J1073" s="743"/>
      <c r="K1073" s="490"/>
      <c r="L1073" s="490"/>
    </row>
    <row r="1074" spans="1:12" s="315" customFormat="1" x14ac:dyDescent="0.25">
      <c r="A1074" s="850"/>
      <c r="B1074" s="499"/>
      <c r="C1074" s="490"/>
      <c r="D1074" s="490"/>
      <c r="E1074" s="323"/>
      <c r="F1074" s="323"/>
      <c r="G1074" s="812"/>
      <c r="H1074" s="490"/>
      <c r="I1074" s="812"/>
      <c r="J1074" s="743"/>
      <c r="K1074" s="490"/>
      <c r="L1074" s="490"/>
    </row>
    <row r="1075" spans="1:12" s="315" customFormat="1" x14ac:dyDescent="0.25">
      <c r="A1075" s="850"/>
      <c r="B1075" s="499"/>
      <c r="C1075" s="490"/>
      <c r="D1075" s="490"/>
      <c r="E1075" s="323"/>
      <c r="F1075" s="323"/>
      <c r="G1075" s="812"/>
      <c r="H1075" s="490"/>
      <c r="I1075" s="812"/>
      <c r="J1075" s="743"/>
      <c r="K1075" s="490"/>
      <c r="L1075" s="490"/>
    </row>
    <row r="1076" spans="1:12" s="315" customFormat="1" x14ac:dyDescent="0.25">
      <c r="A1076" s="850"/>
      <c r="B1076" s="499"/>
      <c r="C1076" s="490"/>
      <c r="D1076" s="490"/>
      <c r="E1076" s="323"/>
      <c r="F1076" s="323"/>
      <c r="G1076" s="812"/>
      <c r="H1076" s="490"/>
      <c r="I1076" s="812"/>
      <c r="J1076" s="743"/>
      <c r="K1076" s="490"/>
      <c r="L1076" s="490"/>
    </row>
    <row r="1077" spans="1:12" s="315" customFormat="1" x14ac:dyDescent="0.25">
      <c r="A1077" s="850"/>
      <c r="B1077" s="499"/>
      <c r="C1077" s="490"/>
      <c r="D1077" s="490"/>
      <c r="E1077" s="323"/>
      <c r="F1077" s="323"/>
      <c r="G1077" s="812"/>
      <c r="H1077" s="490"/>
      <c r="I1077" s="812"/>
      <c r="J1077" s="743"/>
      <c r="K1077" s="490"/>
      <c r="L1077" s="490"/>
    </row>
    <row r="1078" spans="1:12" s="315" customFormat="1" x14ac:dyDescent="0.25">
      <c r="A1078" s="850"/>
      <c r="B1078" s="499"/>
      <c r="C1078" s="490"/>
      <c r="D1078" s="490"/>
      <c r="E1078" s="323"/>
      <c r="F1078" s="323"/>
      <c r="G1078" s="812"/>
      <c r="H1078" s="490"/>
      <c r="I1078" s="812"/>
      <c r="J1078" s="743"/>
      <c r="K1078" s="490"/>
      <c r="L1078" s="490"/>
    </row>
    <row r="1079" spans="1:12" s="315" customFormat="1" x14ac:dyDescent="0.25">
      <c r="A1079" s="850"/>
      <c r="B1079" s="499"/>
      <c r="C1079" s="490"/>
      <c r="D1079" s="490"/>
      <c r="E1079" s="323"/>
      <c r="F1079" s="323"/>
      <c r="G1079" s="812"/>
      <c r="H1079" s="490"/>
      <c r="I1079" s="812"/>
      <c r="J1079" s="743"/>
      <c r="K1079" s="490"/>
      <c r="L1079" s="490"/>
    </row>
    <row r="1080" spans="1:12" s="315" customFormat="1" x14ac:dyDescent="0.25">
      <c r="A1080" s="850"/>
      <c r="B1080" s="499"/>
      <c r="C1080" s="490"/>
      <c r="D1080" s="490"/>
      <c r="E1080" s="323"/>
      <c r="F1080" s="323"/>
      <c r="G1080" s="812"/>
      <c r="H1080" s="490"/>
      <c r="I1080" s="812"/>
      <c r="J1080" s="743"/>
      <c r="K1080" s="490"/>
      <c r="L1080" s="490"/>
    </row>
    <row r="1081" spans="1:12" s="315" customFormat="1" x14ac:dyDescent="0.25">
      <c r="A1081" s="850"/>
      <c r="B1081" s="499"/>
      <c r="C1081" s="490"/>
      <c r="D1081" s="490"/>
      <c r="E1081" s="323"/>
      <c r="F1081" s="323"/>
      <c r="G1081" s="812"/>
      <c r="H1081" s="490"/>
      <c r="I1081" s="812"/>
      <c r="J1081" s="743"/>
      <c r="K1081" s="490"/>
      <c r="L1081" s="490"/>
    </row>
    <row r="1082" spans="1:12" s="315" customFormat="1" x14ac:dyDescent="0.25">
      <c r="A1082" s="850"/>
      <c r="B1082" s="499"/>
      <c r="C1082" s="490"/>
      <c r="D1082" s="490"/>
      <c r="E1082" s="323"/>
      <c r="F1082" s="323"/>
      <c r="G1082" s="812"/>
      <c r="H1082" s="490"/>
      <c r="I1082" s="812"/>
      <c r="J1082" s="743"/>
      <c r="K1082" s="490"/>
      <c r="L1082" s="490"/>
    </row>
    <row r="1083" spans="1:12" s="315" customFormat="1" x14ac:dyDescent="0.25">
      <c r="A1083" s="850"/>
      <c r="B1083" s="499"/>
      <c r="C1083" s="490"/>
      <c r="D1083" s="490"/>
      <c r="E1083" s="323"/>
      <c r="F1083" s="323"/>
      <c r="G1083" s="812"/>
      <c r="H1083" s="490"/>
      <c r="I1083" s="812"/>
      <c r="J1083" s="743"/>
      <c r="K1083" s="490"/>
      <c r="L1083" s="490"/>
    </row>
    <row r="1084" spans="1:12" s="315" customFormat="1" x14ac:dyDescent="0.25">
      <c r="A1084" s="850"/>
      <c r="B1084" s="499"/>
      <c r="C1084" s="490"/>
      <c r="D1084" s="490"/>
      <c r="E1084" s="323"/>
      <c r="F1084" s="323"/>
      <c r="G1084" s="812"/>
      <c r="H1084" s="490"/>
      <c r="I1084" s="812"/>
      <c r="J1084" s="743"/>
      <c r="K1084" s="490"/>
      <c r="L1084" s="490"/>
    </row>
    <row r="1085" spans="1:12" s="315" customFormat="1" x14ac:dyDescent="0.25">
      <c r="A1085" s="850"/>
      <c r="B1085" s="499"/>
      <c r="C1085" s="490"/>
      <c r="D1085" s="490"/>
      <c r="E1085" s="323"/>
      <c r="F1085" s="323"/>
      <c r="G1085" s="812"/>
      <c r="H1085" s="490"/>
      <c r="I1085" s="812"/>
      <c r="J1085" s="743"/>
      <c r="K1085" s="490"/>
      <c r="L1085" s="490"/>
    </row>
    <row r="1086" spans="1:12" s="315" customFormat="1" x14ac:dyDescent="0.25">
      <c r="A1086" s="850"/>
      <c r="B1086" s="499"/>
      <c r="C1086" s="490"/>
      <c r="D1086" s="490"/>
      <c r="E1086" s="323"/>
      <c r="F1086" s="323"/>
      <c r="G1086" s="812"/>
      <c r="H1086" s="490"/>
      <c r="I1086" s="812"/>
      <c r="J1086" s="743"/>
      <c r="K1086" s="490"/>
      <c r="L1086" s="490"/>
    </row>
    <row r="1087" spans="1:12" s="315" customFormat="1" x14ac:dyDescent="0.25">
      <c r="A1087" s="850"/>
      <c r="B1087" s="499"/>
      <c r="C1087" s="490"/>
      <c r="D1087" s="490"/>
      <c r="E1087" s="323"/>
      <c r="F1087" s="323"/>
      <c r="G1087" s="812"/>
      <c r="H1087" s="490"/>
      <c r="I1087" s="812"/>
      <c r="J1087" s="743"/>
      <c r="K1087" s="490"/>
      <c r="L1087" s="490"/>
    </row>
    <row r="1088" spans="1:12" s="315" customFormat="1" x14ac:dyDescent="0.25">
      <c r="A1088" s="850"/>
      <c r="B1088" s="499"/>
      <c r="C1088" s="490"/>
      <c r="D1088" s="490"/>
      <c r="E1088" s="323"/>
      <c r="F1088" s="323"/>
      <c r="G1088" s="812"/>
      <c r="H1088" s="490"/>
      <c r="I1088" s="812"/>
      <c r="J1088" s="743"/>
      <c r="K1088" s="490"/>
      <c r="L1088" s="490"/>
    </row>
    <row r="1089" spans="1:12" s="315" customFormat="1" x14ac:dyDescent="0.25">
      <c r="A1089" s="850"/>
      <c r="B1089" s="499"/>
      <c r="C1089" s="490"/>
      <c r="D1089" s="490"/>
      <c r="E1089" s="323"/>
      <c r="F1089" s="323"/>
      <c r="G1089" s="812"/>
      <c r="H1089" s="490"/>
      <c r="I1089" s="812"/>
      <c r="J1089" s="743"/>
      <c r="K1089" s="490"/>
      <c r="L1089" s="490"/>
    </row>
    <row r="1090" spans="1:12" s="315" customFormat="1" x14ac:dyDescent="0.25">
      <c r="A1090" s="850"/>
      <c r="B1090" s="499"/>
      <c r="C1090" s="490"/>
      <c r="D1090" s="490"/>
      <c r="E1090" s="323"/>
      <c r="F1090" s="323"/>
      <c r="G1090" s="812"/>
      <c r="H1090" s="490"/>
      <c r="I1090" s="812"/>
      <c r="J1090" s="743"/>
      <c r="K1090" s="490"/>
      <c r="L1090" s="490"/>
    </row>
    <row r="1091" spans="1:12" s="315" customFormat="1" x14ac:dyDescent="0.25">
      <c r="A1091" s="850"/>
      <c r="B1091" s="499"/>
      <c r="C1091" s="490"/>
      <c r="D1091" s="490"/>
      <c r="E1091" s="323"/>
      <c r="F1091" s="323"/>
      <c r="G1091" s="812"/>
      <c r="H1091" s="490"/>
      <c r="I1091" s="812"/>
      <c r="J1091" s="743"/>
      <c r="K1091" s="490"/>
      <c r="L1091" s="490"/>
    </row>
    <row r="1092" spans="1:12" s="315" customFormat="1" x14ac:dyDescent="0.25">
      <c r="A1092" s="850"/>
      <c r="B1092" s="499"/>
      <c r="C1092" s="490"/>
      <c r="D1092" s="490"/>
      <c r="E1092" s="323"/>
      <c r="F1092" s="323"/>
      <c r="G1092" s="812"/>
      <c r="H1092" s="490"/>
      <c r="I1092" s="812"/>
      <c r="J1092" s="743"/>
      <c r="K1092" s="490"/>
      <c r="L1092" s="490"/>
    </row>
    <row r="1093" spans="1:12" s="315" customFormat="1" x14ac:dyDescent="0.25">
      <c r="A1093" s="850"/>
      <c r="B1093" s="499"/>
      <c r="C1093" s="490"/>
      <c r="D1093" s="490"/>
      <c r="E1093" s="323"/>
      <c r="F1093" s="323"/>
      <c r="G1093" s="812"/>
      <c r="H1093" s="490"/>
      <c r="I1093" s="812"/>
      <c r="J1093" s="743"/>
      <c r="K1093" s="490"/>
      <c r="L1093" s="490"/>
    </row>
    <row r="1094" spans="1:12" s="315" customFormat="1" x14ac:dyDescent="0.25">
      <c r="A1094" s="850"/>
      <c r="B1094" s="499"/>
      <c r="C1094" s="490"/>
      <c r="D1094" s="490"/>
      <c r="E1094" s="323"/>
      <c r="F1094" s="323"/>
      <c r="G1094" s="812"/>
      <c r="H1094" s="490"/>
      <c r="I1094" s="812"/>
      <c r="J1094" s="743"/>
      <c r="K1094" s="490"/>
      <c r="L1094" s="490"/>
    </row>
    <row r="1095" spans="1:12" s="315" customFormat="1" x14ac:dyDescent="0.25">
      <c r="A1095" s="850"/>
      <c r="B1095" s="499"/>
      <c r="C1095" s="490"/>
      <c r="D1095" s="490"/>
      <c r="E1095" s="323"/>
      <c r="F1095" s="323"/>
      <c r="G1095" s="812"/>
      <c r="H1095" s="490"/>
      <c r="I1095" s="812"/>
      <c r="J1095" s="743"/>
      <c r="K1095" s="490"/>
      <c r="L1095" s="490"/>
    </row>
    <row r="1096" spans="1:12" s="315" customFormat="1" x14ac:dyDescent="0.25">
      <c r="A1096" s="850"/>
      <c r="B1096" s="499"/>
      <c r="C1096" s="490"/>
      <c r="D1096" s="490"/>
      <c r="E1096" s="323"/>
      <c r="F1096" s="323"/>
      <c r="G1096" s="812"/>
      <c r="H1096" s="490"/>
      <c r="I1096" s="812"/>
      <c r="J1096" s="743"/>
      <c r="K1096" s="490"/>
      <c r="L1096" s="490"/>
    </row>
    <row r="1097" spans="1:12" s="315" customFormat="1" x14ac:dyDescent="0.25">
      <c r="A1097" s="850"/>
      <c r="B1097" s="499"/>
      <c r="C1097" s="490"/>
      <c r="D1097" s="490"/>
      <c r="E1097" s="323"/>
      <c r="F1097" s="323"/>
      <c r="G1097" s="812"/>
      <c r="H1097" s="490"/>
      <c r="I1097" s="812"/>
      <c r="J1097" s="743"/>
      <c r="K1097" s="490"/>
      <c r="L1097" s="490"/>
    </row>
    <row r="1098" spans="1:12" s="315" customFormat="1" x14ac:dyDescent="0.25">
      <c r="A1098" s="850"/>
      <c r="B1098" s="499"/>
      <c r="C1098" s="490"/>
      <c r="D1098" s="490"/>
      <c r="E1098" s="323"/>
      <c r="F1098" s="323"/>
      <c r="G1098" s="812"/>
      <c r="H1098" s="490"/>
      <c r="I1098" s="812"/>
      <c r="J1098" s="743"/>
      <c r="K1098" s="490"/>
      <c r="L1098" s="490"/>
    </row>
    <row r="1099" spans="1:12" s="315" customFormat="1" x14ac:dyDescent="0.25">
      <c r="A1099" s="850"/>
      <c r="B1099" s="499"/>
      <c r="C1099" s="490"/>
      <c r="D1099" s="490"/>
      <c r="E1099" s="323"/>
      <c r="F1099" s="323"/>
      <c r="G1099" s="812"/>
      <c r="H1099" s="490"/>
      <c r="I1099" s="812"/>
      <c r="J1099" s="743"/>
      <c r="K1099" s="490"/>
      <c r="L1099" s="490"/>
    </row>
    <row r="1100" spans="1:12" s="315" customFormat="1" x14ac:dyDescent="0.25">
      <c r="A1100" s="850"/>
      <c r="B1100" s="499"/>
      <c r="C1100" s="490"/>
      <c r="D1100" s="490"/>
      <c r="E1100" s="323"/>
      <c r="F1100" s="323"/>
      <c r="G1100" s="812"/>
      <c r="H1100" s="490"/>
      <c r="I1100" s="812"/>
      <c r="J1100" s="743"/>
      <c r="K1100" s="490"/>
      <c r="L1100" s="490"/>
    </row>
    <row r="1101" spans="1:12" s="315" customFormat="1" x14ac:dyDescent="0.25">
      <c r="A1101" s="850"/>
      <c r="B1101" s="499"/>
      <c r="C1101" s="490"/>
      <c r="D1101" s="490"/>
      <c r="E1101" s="323"/>
      <c r="F1101" s="323"/>
      <c r="G1101" s="812"/>
      <c r="H1101" s="490"/>
      <c r="I1101" s="812"/>
      <c r="J1101" s="743"/>
      <c r="K1101" s="490"/>
      <c r="L1101" s="490"/>
    </row>
    <row r="1102" spans="1:12" s="315" customFormat="1" x14ac:dyDescent="0.25">
      <c r="A1102" s="850"/>
      <c r="B1102" s="499"/>
      <c r="C1102" s="490"/>
      <c r="D1102" s="490"/>
      <c r="E1102" s="323"/>
      <c r="F1102" s="323"/>
      <c r="G1102" s="812"/>
      <c r="H1102" s="490"/>
      <c r="I1102" s="812"/>
      <c r="J1102" s="743"/>
      <c r="K1102" s="490"/>
      <c r="L1102" s="490"/>
    </row>
    <row r="1103" spans="1:12" s="315" customFormat="1" x14ac:dyDescent="0.25">
      <c r="A1103" s="850"/>
      <c r="B1103" s="499"/>
      <c r="C1103" s="490"/>
      <c r="D1103" s="490"/>
      <c r="E1103" s="323"/>
      <c r="F1103" s="323"/>
      <c r="G1103" s="812"/>
      <c r="H1103" s="490"/>
      <c r="I1103" s="812"/>
      <c r="J1103" s="743"/>
      <c r="K1103" s="490"/>
      <c r="L1103" s="490"/>
    </row>
    <row r="1104" spans="1:12" s="315" customFormat="1" x14ac:dyDescent="0.25">
      <c r="A1104" s="850"/>
      <c r="B1104" s="499"/>
      <c r="C1104" s="490"/>
      <c r="D1104" s="490"/>
      <c r="E1104" s="323"/>
      <c r="F1104" s="323"/>
      <c r="G1104" s="812"/>
      <c r="H1104" s="490"/>
      <c r="I1104" s="812"/>
      <c r="J1104" s="743"/>
      <c r="K1104" s="490"/>
      <c r="L1104" s="490"/>
    </row>
    <row r="1105" spans="1:12" s="315" customFormat="1" x14ac:dyDescent="0.25">
      <c r="A1105" s="850"/>
      <c r="B1105" s="499"/>
      <c r="C1105" s="490"/>
      <c r="D1105" s="490"/>
      <c r="E1105" s="323"/>
      <c r="F1105" s="323"/>
      <c r="G1105" s="812"/>
      <c r="H1105" s="490"/>
      <c r="I1105" s="812"/>
      <c r="J1105" s="743"/>
      <c r="K1105" s="490"/>
      <c r="L1105" s="490"/>
    </row>
    <row r="1106" spans="1:12" s="315" customFormat="1" x14ac:dyDescent="0.25">
      <c r="A1106" s="850"/>
      <c r="B1106" s="499"/>
      <c r="C1106" s="490"/>
      <c r="D1106" s="490"/>
      <c r="E1106" s="323"/>
      <c r="F1106" s="323"/>
      <c r="G1106" s="812"/>
      <c r="H1106" s="490"/>
      <c r="I1106" s="812"/>
      <c r="J1106" s="743"/>
      <c r="K1106" s="490"/>
      <c r="L1106" s="490"/>
    </row>
    <row r="1107" spans="1:12" s="315" customFormat="1" x14ac:dyDescent="0.25">
      <c r="A1107" s="850"/>
      <c r="B1107" s="499"/>
      <c r="C1107" s="490"/>
      <c r="D1107" s="490"/>
      <c r="E1107" s="323"/>
      <c r="F1107" s="323"/>
      <c r="G1107" s="812"/>
      <c r="H1107" s="490"/>
      <c r="I1107" s="812"/>
      <c r="J1107" s="743"/>
      <c r="K1107" s="490"/>
      <c r="L1107" s="490"/>
    </row>
    <row r="1108" spans="1:12" s="315" customFormat="1" x14ac:dyDescent="0.25">
      <c r="A1108" s="850"/>
      <c r="B1108" s="499"/>
      <c r="C1108" s="490"/>
      <c r="D1108" s="490"/>
      <c r="E1108" s="323"/>
      <c r="F1108" s="323"/>
      <c r="G1108" s="812"/>
      <c r="H1108" s="490"/>
      <c r="I1108" s="812"/>
      <c r="J1108" s="743"/>
      <c r="K1108" s="490"/>
      <c r="L1108" s="490"/>
    </row>
    <row r="1109" spans="1:12" s="315" customFormat="1" x14ac:dyDescent="0.25">
      <c r="A1109" s="850"/>
      <c r="B1109" s="499"/>
      <c r="C1109" s="490"/>
      <c r="D1109" s="490"/>
      <c r="E1109" s="323"/>
      <c r="F1109" s="323"/>
      <c r="G1109" s="812"/>
      <c r="H1109" s="490"/>
      <c r="I1109" s="812"/>
      <c r="J1109" s="743"/>
      <c r="K1109" s="490"/>
      <c r="L1109" s="490"/>
    </row>
    <row r="1110" spans="1:12" s="315" customFormat="1" x14ac:dyDescent="0.25">
      <c r="A1110" s="850"/>
      <c r="B1110" s="499"/>
      <c r="C1110" s="490"/>
      <c r="D1110" s="490"/>
      <c r="E1110" s="323"/>
      <c r="F1110" s="323"/>
      <c r="G1110" s="812"/>
      <c r="H1110" s="490"/>
      <c r="I1110" s="812"/>
      <c r="J1110" s="743"/>
      <c r="K1110" s="490"/>
      <c r="L1110" s="490"/>
    </row>
    <row r="1111" spans="1:12" s="315" customFormat="1" x14ac:dyDescent="0.25">
      <c r="A1111" s="850"/>
      <c r="B1111" s="499"/>
      <c r="C1111" s="490"/>
      <c r="D1111" s="490"/>
      <c r="E1111" s="323"/>
      <c r="F1111" s="323"/>
      <c r="G1111" s="812"/>
      <c r="H1111" s="490"/>
      <c r="I1111" s="812"/>
      <c r="J1111" s="743"/>
      <c r="K1111" s="490"/>
      <c r="L1111" s="490"/>
    </row>
    <row r="1112" spans="1:12" s="315" customFormat="1" x14ac:dyDescent="0.25">
      <c r="A1112" s="850"/>
      <c r="B1112" s="499"/>
      <c r="C1112" s="490"/>
      <c r="D1112" s="490"/>
      <c r="E1112" s="323"/>
      <c r="F1112" s="323"/>
      <c r="G1112" s="812"/>
      <c r="H1112" s="490"/>
      <c r="I1112" s="812"/>
      <c r="J1112" s="743"/>
      <c r="K1112" s="490"/>
      <c r="L1112" s="490"/>
    </row>
    <row r="1113" spans="1:12" s="315" customFormat="1" x14ac:dyDescent="0.25">
      <c r="A1113" s="850"/>
      <c r="B1113" s="499"/>
      <c r="C1113" s="490"/>
      <c r="D1113" s="490"/>
      <c r="E1113" s="323"/>
      <c r="F1113" s="323"/>
      <c r="G1113" s="812"/>
      <c r="H1113" s="490"/>
      <c r="I1113" s="812"/>
      <c r="J1113" s="743"/>
      <c r="K1113" s="490"/>
      <c r="L1113" s="490"/>
    </row>
    <row r="1114" spans="1:12" s="315" customFormat="1" x14ac:dyDescent="0.25">
      <c r="A1114" s="850"/>
      <c r="B1114" s="499"/>
      <c r="C1114" s="490"/>
      <c r="D1114" s="490"/>
      <c r="E1114" s="323"/>
      <c r="F1114" s="323"/>
      <c r="G1114" s="812"/>
      <c r="H1114" s="490"/>
      <c r="I1114" s="812"/>
      <c r="J1114" s="743"/>
      <c r="K1114" s="490"/>
      <c r="L1114" s="490"/>
    </row>
    <row r="1115" spans="1:12" s="315" customFormat="1" x14ac:dyDescent="0.25">
      <c r="A1115" s="850"/>
      <c r="B1115" s="499"/>
      <c r="C1115" s="490"/>
      <c r="D1115" s="490"/>
      <c r="E1115" s="323"/>
      <c r="F1115" s="323"/>
      <c r="G1115" s="812"/>
      <c r="H1115" s="490"/>
      <c r="I1115" s="812"/>
      <c r="J1115" s="743"/>
      <c r="K1115" s="490"/>
      <c r="L1115" s="490"/>
    </row>
    <row r="1116" spans="1:12" s="315" customFormat="1" x14ac:dyDescent="0.25">
      <c r="A1116" s="850"/>
      <c r="B1116" s="499"/>
      <c r="C1116" s="490"/>
      <c r="D1116" s="490"/>
      <c r="E1116" s="323"/>
      <c r="F1116" s="323"/>
      <c r="G1116" s="812"/>
      <c r="H1116" s="490"/>
      <c r="I1116" s="812"/>
      <c r="J1116" s="743"/>
      <c r="K1116" s="490"/>
      <c r="L1116" s="490"/>
    </row>
    <row r="1117" spans="1:12" s="315" customFormat="1" x14ac:dyDescent="0.25">
      <c r="A1117" s="850"/>
      <c r="B1117" s="499"/>
      <c r="C1117" s="490"/>
      <c r="D1117" s="490"/>
      <c r="E1117" s="323"/>
      <c r="F1117" s="323"/>
      <c r="G1117" s="812"/>
      <c r="H1117" s="490"/>
      <c r="I1117" s="812"/>
      <c r="J1117" s="743"/>
      <c r="K1117" s="490"/>
      <c r="L1117" s="490"/>
    </row>
    <row r="1118" spans="1:12" s="315" customFormat="1" x14ac:dyDescent="0.25">
      <c r="A1118" s="850"/>
      <c r="B1118" s="499"/>
      <c r="C1118" s="490"/>
      <c r="D1118" s="490"/>
      <c r="E1118" s="323"/>
      <c r="F1118" s="323"/>
      <c r="G1118" s="812"/>
      <c r="H1118" s="490"/>
      <c r="I1118" s="812"/>
      <c r="J1118" s="743"/>
      <c r="K1118" s="490"/>
      <c r="L1118" s="490"/>
    </row>
    <row r="1119" spans="1:12" s="315" customFormat="1" x14ac:dyDescent="0.25">
      <c r="A1119" s="850"/>
      <c r="B1119" s="499"/>
      <c r="C1119" s="490"/>
      <c r="D1119" s="490"/>
      <c r="E1119" s="323"/>
      <c r="F1119" s="323"/>
      <c r="G1119" s="812"/>
      <c r="H1119" s="490"/>
      <c r="I1119" s="812"/>
      <c r="J1119" s="743"/>
      <c r="K1119" s="490"/>
      <c r="L1119" s="490"/>
    </row>
    <row r="1120" spans="1:12" s="315" customFormat="1" x14ac:dyDescent="0.25">
      <c r="A1120" s="850"/>
      <c r="B1120" s="499"/>
      <c r="C1120" s="490"/>
      <c r="D1120" s="490"/>
      <c r="E1120" s="323"/>
      <c r="F1120" s="323"/>
      <c r="G1120" s="812"/>
      <c r="H1120" s="490"/>
      <c r="I1120" s="812"/>
      <c r="J1120" s="743"/>
      <c r="K1120" s="490"/>
      <c r="L1120" s="490"/>
    </row>
    <row r="1121" spans="1:12" s="315" customFormat="1" x14ac:dyDescent="0.25">
      <c r="A1121" s="850"/>
      <c r="B1121" s="499"/>
      <c r="C1121" s="490"/>
      <c r="D1121" s="490"/>
      <c r="E1121" s="323"/>
      <c r="F1121" s="323"/>
      <c r="G1121" s="812"/>
      <c r="H1121" s="490"/>
      <c r="I1121" s="812"/>
      <c r="J1121" s="743"/>
      <c r="K1121" s="490"/>
      <c r="L1121" s="490"/>
    </row>
    <row r="1122" spans="1:12" s="315" customFormat="1" x14ac:dyDescent="0.25">
      <c r="A1122" s="850"/>
      <c r="B1122" s="499"/>
      <c r="C1122" s="490"/>
      <c r="D1122" s="490"/>
      <c r="E1122" s="323"/>
      <c r="F1122" s="323"/>
      <c r="G1122" s="812"/>
      <c r="H1122" s="490"/>
      <c r="I1122" s="812"/>
      <c r="J1122" s="743"/>
      <c r="K1122" s="490"/>
      <c r="L1122" s="490"/>
    </row>
    <row r="1123" spans="1:12" s="315" customFormat="1" x14ac:dyDescent="0.25">
      <c r="A1123" s="850"/>
      <c r="B1123" s="499"/>
      <c r="C1123" s="490"/>
      <c r="D1123" s="490"/>
      <c r="E1123" s="323"/>
      <c r="F1123" s="323"/>
      <c r="G1123" s="812"/>
      <c r="H1123" s="490"/>
      <c r="I1123" s="812"/>
      <c r="J1123" s="743"/>
      <c r="K1123" s="490"/>
      <c r="L1123" s="490"/>
    </row>
    <row r="1124" spans="1:12" s="315" customFormat="1" x14ac:dyDescent="0.25">
      <c r="A1124" s="850"/>
      <c r="B1124" s="499"/>
      <c r="C1124" s="490"/>
      <c r="D1124" s="490"/>
      <c r="E1124" s="323"/>
      <c r="F1124" s="323"/>
      <c r="G1124" s="812"/>
      <c r="H1124" s="490"/>
      <c r="I1124" s="812"/>
      <c r="J1124" s="743"/>
      <c r="K1124" s="490"/>
      <c r="L1124" s="490"/>
    </row>
    <row r="1125" spans="1:12" s="315" customFormat="1" x14ac:dyDescent="0.25">
      <c r="A1125" s="850"/>
      <c r="B1125" s="499"/>
      <c r="C1125" s="490"/>
      <c r="D1125" s="490"/>
      <c r="E1125" s="323"/>
      <c r="F1125" s="323"/>
      <c r="G1125" s="812"/>
      <c r="H1125" s="490"/>
      <c r="I1125" s="812"/>
      <c r="J1125" s="743"/>
      <c r="K1125" s="490"/>
      <c r="L1125" s="490"/>
    </row>
    <row r="1126" spans="1:12" s="315" customFormat="1" x14ac:dyDescent="0.25">
      <c r="A1126" s="850"/>
      <c r="B1126" s="499"/>
      <c r="C1126" s="490"/>
      <c r="D1126" s="490"/>
      <c r="E1126" s="323"/>
      <c r="F1126" s="323"/>
      <c r="G1126" s="812"/>
      <c r="H1126" s="490"/>
      <c r="I1126" s="812"/>
      <c r="J1126" s="743"/>
      <c r="K1126" s="490"/>
      <c r="L1126" s="490"/>
    </row>
    <row r="1127" spans="1:12" s="315" customFormat="1" x14ac:dyDescent="0.25">
      <c r="A1127" s="850"/>
      <c r="B1127" s="499"/>
      <c r="C1127" s="490"/>
      <c r="D1127" s="490"/>
      <c r="E1127" s="323"/>
      <c r="F1127" s="323"/>
      <c r="G1127" s="812"/>
      <c r="H1127" s="490"/>
      <c r="I1127" s="812"/>
      <c r="J1127" s="743"/>
      <c r="K1127" s="490"/>
      <c r="L1127" s="490"/>
    </row>
    <row r="1128" spans="1:12" s="315" customFormat="1" x14ac:dyDescent="0.25">
      <c r="A1128" s="850"/>
      <c r="B1128" s="499"/>
      <c r="C1128" s="490"/>
      <c r="D1128" s="490"/>
      <c r="E1128" s="323"/>
      <c r="F1128" s="323"/>
      <c r="G1128" s="812"/>
      <c r="H1128" s="490"/>
      <c r="I1128" s="812"/>
      <c r="J1128" s="743"/>
      <c r="K1128" s="490"/>
      <c r="L1128" s="490"/>
    </row>
    <row r="1129" spans="1:12" s="315" customFormat="1" x14ac:dyDescent="0.25">
      <c r="A1129" s="850"/>
      <c r="B1129" s="499"/>
      <c r="C1129" s="490"/>
      <c r="D1129" s="490"/>
      <c r="E1129" s="323"/>
      <c r="F1129" s="323"/>
      <c r="G1129" s="812"/>
      <c r="H1129" s="490"/>
      <c r="I1129" s="812"/>
      <c r="J1129" s="743"/>
      <c r="K1129" s="490"/>
      <c r="L1129" s="490"/>
    </row>
    <row r="1130" spans="1:12" s="315" customFormat="1" x14ac:dyDescent="0.25">
      <c r="A1130" s="850"/>
      <c r="B1130" s="499"/>
      <c r="C1130" s="490"/>
      <c r="D1130" s="490"/>
      <c r="E1130" s="323"/>
      <c r="F1130" s="323"/>
      <c r="G1130" s="812"/>
      <c r="H1130" s="490"/>
      <c r="I1130" s="812"/>
      <c r="J1130" s="743"/>
      <c r="K1130" s="490"/>
      <c r="L1130" s="490"/>
    </row>
    <row r="1131" spans="1:12" s="315" customFormat="1" x14ac:dyDescent="0.25">
      <c r="A1131" s="850"/>
      <c r="B1131" s="499"/>
      <c r="C1131" s="490"/>
      <c r="D1131" s="490"/>
      <c r="E1131" s="323"/>
      <c r="F1131" s="323"/>
      <c r="G1131" s="812"/>
      <c r="H1131" s="490"/>
      <c r="I1131" s="812"/>
      <c r="J1131" s="743"/>
      <c r="K1131" s="490"/>
      <c r="L1131" s="490"/>
    </row>
    <row r="1132" spans="1:12" s="315" customFormat="1" x14ac:dyDescent="0.25">
      <c r="A1132" s="850"/>
      <c r="B1132" s="499"/>
      <c r="C1132" s="490"/>
      <c r="D1132" s="490"/>
      <c r="E1132" s="323"/>
      <c r="F1132" s="323"/>
      <c r="G1132" s="812"/>
      <c r="H1132" s="490"/>
      <c r="I1132" s="812"/>
      <c r="J1132" s="743"/>
      <c r="K1132" s="490"/>
      <c r="L1132" s="490"/>
    </row>
    <row r="1133" spans="1:12" s="315" customFormat="1" x14ac:dyDescent="0.25">
      <c r="A1133" s="850"/>
      <c r="B1133" s="499"/>
      <c r="C1133" s="490"/>
      <c r="D1133" s="490"/>
      <c r="E1133" s="323"/>
      <c r="F1133" s="323"/>
      <c r="G1133" s="812"/>
      <c r="H1133" s="490"/>
      <c r="I1133" s="812"/>
      <c r="J1133" s="743"/>
      <c r="K1133" s="490"/>
      <c r="L1133" s="490"/>
    </row>
    <row r="1134" spans="1:12" s="315" customFormat="1" x14ac:dyDescent="0.25">
      <c r="A1134" s="850"/>
      <c r="B1134" s="499"/>
      <c r="C1134" s="490"/>
      <c r="D1134" s="490"/>
      <c r="E1134" s="323"/>
      <c r="F1134" s="323"/>
      <c r="G1134" s="812"/>
      <c r="H1134" s="490"/>
      <c r="I1134" s="812"/>
      <c r="J1134" s="743"/>
      <c r="K1134" s="490"/>
      <c r="L1134" s="490"/>
    </row>
    <row r="1135" spans="1:12" s="315" customFormat="1" x14ac:dyDescent="0.25">
      <c r="A1135" s="850"/>
      <c r="B1135" s="499"/>
      <c r="C1135" s="490"/>
      <c r="D1135" s="490"/>
      <c r="E1135" s="323"/>
      <c r="F1135" s="323"/>
      <c r="G1135" s="812"/>
      <c r="H1135" s="490"/>
      <c r="I1135" s="812"/>
      <c r="J1135" s="743"/>
      <c r="K1135" s="490"/>
      <c r="L1135" s="490"/>
    </row>
    <row r="1136" spans="1:12" s="315" customFormat="1" x14ac:dyDescent="0.25">
      <c r="A1136" s="850"/>
      <c r="B1136" s="499"/>
      <c r="C1136" s="490"/>
      <c r="D1136" s="490"/>
      <c r="E1136" s="323"/>
      <c r="F1136" s="323"/>
      <c r="G1136" s="812"/>
      <c r="H1136" s="490"/>
      <c r="I1136" s="812"/>
      <c r="J1136" s="743"/>
      <c r="K1136" s="490"/>
      <c r="L1136" s="490"/>
    </row>
    <row r="1137" spans="1:12" s="315" customFormat="1" x14ac:dyDescent="0.25">
      <c r="A1137" s="850"/>
      <c r="B1137" s="499"/>
      <c r="C1137" s="490"/>
      <c r="D1137" s="490"/>
      <c r="E1137" s="323"/>
      <c r="F1137" s="323"/>
      <c r="G1137" s="812"/>
      <c r="H1137" s="490"/>
      <c r="I1137" s="812"/>
      <c r="J1137" s="743"/>
      <c r="K1137" s="490"/>
      <c r="L1137" s="490"/>
    </row>
    <row r="1138" spans="1:12" s="315" customFormat="1" x14ac:dyDescent="0.25">
      <c r="A1138" s="850"/>
      <c r="B1138" s="499"/>
      <c r="C1138" s="490"/>
      <c r="D1138" s="490"/>
      <c r="E1138" s="323"/>
      <c r="F1138" s="323"/>
      <c r="G1138" s="812"/>
      <c r="H1138" s="490"/>
      <c r="I1138" s="812"/>
      <c r="J1138" s="743"/>
      <c r="K1138" s="490"/>
      <c r="L1138" s="490"/>
    </row>
    <row r="1139" spans="1:12" s="315" customFormat="1" x14ac:dyDescent="0.25">
      <c r="A1139" s="850"/>
      <c r="B1139" s="499"/>
      <c r="C1139" s="490"/>
      <c r="D1139" s="490"/>
      <c r="E1139" s="323"/>
      <c r="F1139" s="323"/>
      <c r="G1139" s="812"/>
      <c r="H1139" s="490"/>
      <c r="I1139" s="812"/>
      <c r="J1139" s="743"/>
      <c r="K1139" s="490"/>
      <c r="L1139" s="490"/>
    </row>
    <row r="1140" spans="1:12" s="315" customFormat="1" x14ac:dyDescent="0.25">
      <c r="A1140" s="850"/>
      <c r="B1140" s="499"/>
      <c r="C1140" s="490"/>
      <c r="D1140" s="490"/>
      <c r="E1140" s="323"/>
      <c r="F1140" s="323"/>
      <c r="G1140" s="812"/>
      <c r="H1140" s="490"/>
      <c r="I1140" s="812"/>
      <c r="J1140" s="743"/>
      <c r="K1140" s="490"/>
      <c r="L1140" s="490"/>
    </row>
    <row r="1141" spans="1:12" s="315" customFormat="1" x14ac:dyDescent="0.25">
      <c r="A1141" s="850"/>
      <c r="B1141" s="499"/>
      <c r="C1141" s="490"/>
      <c r="D1141" s="490"/>
      <c r="E1141" s="323"/>
      <c r="F1141" s="323"/>
      <c r="G1141" s="812"/>
      <c r="H1141" s="490"/>
      <c r="I1141" s="812"/>
      <c r="J1141" s="743"/>
      <c r="K1141" s="490"/>
      <c r="L1141" s="490"/>
    </row>
    <row r="1142" spans="1:12" s="315" customFormat="1" x14ac:dyDescent="0.25">
      <c r="A1142" s="850"/>
      <c r="B1142" s="499"/>
      <c r="C1142" s="490"/>
      <c r="D1142" s="490"/>
      <c r="E1142" s="323"/>
      <c r="F1142" s="323"/>
      <c r="G1142" s="812"/>
      <c r="H1142" s="490"/>
      <c r="I1142" s="812"/>
      <c r="J1142" s="743"/>
      <c r="K1142" s="490"/>
      <c r="L1142" s="490"/>
    </row>
    <row r="1143" spans="1:12" s="315" customFormat="1" x14ac:dyDescent="0.25">
      <c r="A1143" s="850"/>
      <c r="B1143" s="499"/>
      <c r="C1143" s="490"/>
      <c r="D1143" s="490"/>
      <c r="E1143" s="323"/>
      <c r="F1143" s="323"/>
      <c r="G1143" s="812"/>
      <c r="H1143" s="490"/>
      <c r="I1143" s="812"/>
      <c r="J1143" s="743"/>
      <c r="K1143" s="490"/>
      <c r="L1143" s="490"/>
    </row>
    <row r="1144" spans="1:12" s="315" customFormat="1" x14ac:dyDescent="0.25">
      <c r="A1144" s="850"/>
      <c r="B1144" s="499"/>
      <c r="C1144" s="490"/>
      <c r="D1144" s="490"/>
      <c r="E1144" s="323"/>
      <c r="F1144" s="323"/>
      <c r="G1144" s="812"/>
      <c r="H1144" s="490"/>
      <c r="I1144" s="812"/>
      <c r="J1144" s="743"/>
      <c r="K1144" s="490"/>
      <c r="L1144" s="490"/>
    </row>
    <row r="1145" spans="1:12" s="315" customFormat="1" x14ac:dyDescent="0.25">
      <c r="A1145" s="850"/>
      <c r="B1145" s="499"/>
      <c r="C1145" s="490"/>
      <c r="D1145" s="490"/>
      <c r="E1145" s="323"/>
      <c r="F1145" s="323"/>
      <c r="G1145" s="812"/>
      <c r="H1145" s="490"/>
      <c r="I1145" s="812"/>
      <c r="J1145" s="743"/>
      <c r="K1145" s="490"/>
      <c r="L1145" s="490"/>
    </row>
    <row r="1146" spans="1:12" s="315" customFormat="1" x14ac:dyDescent="0.25">
      <c r="A1146" s="850"/>
      <c r="B1146" s="499"/>
      <c r="C1146" s="490"/>
      <c r="D1146" s="490"/>
      <c r="E1146" s="323"/>
      <c r="F1146" s="323"/>
      <c r="G1146" s="812"/>
      <c r="H1146" s="490"/>
      <c r="I1146" s="812"/>
      <c r="J1146" s="743"/>
      <c r="K1146" s="490"/>
      <c r="L1146" s="490"/>
    </row>
    <row r="1147" spans="1:12" s="315" customFormat="1" x14ac:dyDescent="0.25">
      <c r="A1147" s="850"/>
      <c r="B1147" s="499"/>
      <c r="C1147" s="490"/>
      <c r="D1147" s="490"/>
      <c r="E1147" s="323"/>
      <c r="F1147" s="323"/>
      <c r="G1147" s="812"/>
      <c r="H1147" s="490"/>
      <c r="I1147" s="812"/>
      <c r="J1147" s="743"/>
      <c r="K1147" s="490"/>
      <c r="L1147" s="490"/>
    </row>
    <row r="1148" spans="1:12" s="315" customFormat="1" x14ac:dyDescent="0.25">
      <c r="A1148" s="850"/>
      <c r="B1148" s="499"/>
      <c r="C1148" s="490"/>
      <c r="D1148" s="490"/>
      <c r="E1148" s="323"/>
      <c r="F1148" s="323"/>
      <c r="G1148" s="812"/>
      <c r="H1148" s="490"/>
      <c r="I1148" s="812"/>
      <c r="J1148" s="743"/>
      <c r="K1148" s="490"/>
      <c r="L1148" s="490"/>
    </row>
    <row r="1149" spans="1:12" s="315" customFormat="1" x14ac:dyDescent="0.25">
      <c r="A1149" s="850"/>
      <c r="B1149" s="499"/>
      <c r="C1149" s="490"/>
      <c r="D1149" s="490"/>
      <c r="E1149" s="323"/>
      <c r="F1149" s="323"/>
      <c r="G1149" s="812"/>
      <c r="H1149" s="490"/>
      <c r="I1149" s="812"/>
      <c r="J1149" s="743"/>
      <c r="K1149" s="490"/>
      <c r="L1149" s="490"/>
    </row>
    <row r="1150" spans="1:12" s="315" customFormat="1" x14ac:dyDescent="0.25">
      <c r="A1150" s="850"/>
      <c r="B1150" s="499"/>
      <c r="C1150" s="490"/>
      <c r="D1150" s="490"/>
      <c r="E1150" s="323"/>
      <c r="F1150" s="323"/>
      <c r="G1150" s="812"/>
      <c r="H1150" s="490"/>
      <c r="I1150" s="812"/>
      <c r="J1150" s="743"/>
      <c r="K1150" s="490"/>
      <c r="L1150" s="490"/>
    </row>
    <row r="1151" spans="1:12" s="315" customFormat="1" x14ac:dyDescent="0.25">
      <c r="A1151" s="850"/>
      <c r="B1151" s="499"/>
      <c r="C1151" s="490"/>
      <c r="D1151" s="490"/>
      <c r="E1151" s="323"/>
      <c r="F1151" s="323"/>
      <c r="G1151" s="812"/>
      <c r="H1151" s="490"/>
      <c r="I1151" s="812"/>
      <c r="J1151" s="743"/>
      <c r="K1151" s="490"/>
      <c r="L1151" s="490"/>
    </row>
    <row r="1152" spans="1:12" s="315" customFormat="1" x14ac:dyDescent="0.25">
      <c r="A1152" s="850"/>
      <c r="B1152" s="499"/>
      <c r="C1152" s="490"/>
      <c r="D1152" s="490"/>
      <c r="E1152" s="323"/>
      <c r="F1152" s="323"/>
      <c r="G1152" s="812"/>
      <c r="H1152" s="490"/>
      <c r="I1152" s="812"/>
      <c r="J1152" s="743"/>
      <c r="K1152" s="490"/>
      <c r="L1152" s="490"/>
    </row>
    <row r="1153" spans="1:12" s="315" customFormat="1" x14ac:dyDescent="0.25">
      <c r="A1153" s="850"/>
      <c r="B1153" s="499"/>
      <c r="C1153" s="490"/>
      <c r="D1153" s="490"/>
      <c r="E1153" s="323"/>
      <c r="F1153" s="323"/>
      <c r="G1153" s="812"/>
      <c r="H1153" s="490"/>
      <c r="I1153" s="812"/>
      <c r="J1153" s="743"/>
      <c r="K1153" s="490"/>
      <c r="L1153" s="490"/>
    </row>
    <row r="1154" spans="1:12" s="315" customFormat="1" x14ac:dyDescent="0.25">
      <c r="A1154" s="850"/>
      <c r="B1154" s="499"/>
      <c r="C1154" s="490"/>
      <c r="D1154" s="490"/>
      <c r="E1154" s="323"/>
      <c r="F1154" s="323"/>
      <c r="G1154" s="812"/>
      <c r="H1154" s="490"/>
      <c r="I1154" s="812"/>
      <c r="J1154" s="743"/>
      <c r="K1154" s="490"/>
      <c r="L1154" s="490"/>
    </row>
    <row r="1155" spans="1:12" s="315" customFormat="1" x14ac:dyDescent="0.25">
      <c r="A1155" s="850"/>
      <c r="B1155" s="499"/>
      <c r="C1155" s="490"/>
      <c r="D1155" s="490"/>
      <c r="E1155" s="323"/>
      <c r="F1155" s="323"/>
      <c r="G1155" s="812"/>
      <c r="H1155" s="490"/>
      <c r="I1155" s="812"/>
      <c r="J1155" s="743"/>
      <c r="K1155" s="490"/>
      <c r="L1155" s="490"/>
    </row>
    <row r="1156" spans="1:12" s="315" customFormat="1" x14ac:dyDescent="0.25">
      <c r="A1156" s="850"/>
      <c r="B1156" s="499"/>
      <c r="C1156" s="490"/>
      <c r="D1156" s="490"/>
      <c r="E1156" s="323"/>
      <c r="F1156" s="323"/>
      <c r="G1156" s="812"/>
      <c r="H1156" s="490"/>
      <c r="I1156" s="812"/>
      <c r="J1156" s="743"/>
      <c r="K1156" s="490"/>
      <c r="L1156" s="490"/>
    </row>
    <row r="1157" spans="1:12" s="315" customFormat="1" x14ac:dyDescent="0.25">
      <c r="A1157" s="850"/>
      <c r="B1157" s="499"/>
      <c r="C1157" s="490"/>
      <c r="D1157" s="490"/>
      <c r="E1157" s="323"/>
      <c r="F1157" s="323"/>
      <c r="G1157" s="812"/>
      <c r="H1157" s="490"/>
      <c r="I1157" s="812"/>
      <c r="J1157" s="743"/>
      <c r="K1157" s="490"/>
      <c r="L1157" s="490"/>
    </row>
    <row r="1158" spans="1:12" s="315" customFormat="1" x14ac:dyDescent="0.25">
      <c r="A1158" s="850"/>
      <c r="B1158" s="499"/>
      <c r="C1158" s="490"/>
      <c r="D1158" s="490"/>
      <c r="E1158" s="323"/>
      <c r="F1158" s="323"/>
      <c r="G1158" s="812"/>
      <c r="H1158" s="490"/>
      <c r="I1158" s="812"/>
      <c r="J1158" s="743"/>
      <c r="K1158" s="490"/>
      <c r="L1158" s="490"/>
    </row>
    <row r="1159" spans="1:12" s="315" customFormat="1" x14ac:dyDescent="0.25">
      <c r="A1159" s="850"/>
      <c r="B1159" s="499"/>
      <c r="C1159" s="490"/>
      <c r="D1159" s="490"/>
      <c r="E1159" s="323"/>
      <c r="F1159" s="323"/>
      <c r="G1159" s="812"/>
      <c r="H1159" s="490"/>
      <c r="I1159" s="812"/>
      <c r="J1159" s="743"/>
      <c r="K1159" s="490"/>
      <c r="L1159" s="490"/>
    </row>
    <row r="1160" spans="1:12" s="315" customFormat="1" x14ac:dyDescent="0.25">
      <c r="A1160" s="850"/>
      <c r="B1160" s="499"/>
      <c r="C1160" s="490"/>
      <c r="D1160" s="490"/>
      <c r="E1160" s="323"/>
      <c r="F1160" s="323"/>
      <c r="G1160" s="812"/>
      <c r="H1160" s="490"/>
      <c r="I1160" s="812"/>
      <c r="J1160" s="743"/>
      <c r="K1160" s="490"/>
      <c r="L1160" s="490"/>
    </row>
    <row r="1161" spans="1:12" s="315" customFormat="1" x14ac:dyDescent="0.25">
      <c r="A1161" s="850"/>
      <c r="B1161" s="499"/>
      <c r="C1161" s="490"/>
      <c r="D1161" s="490"/>
      <c r="E1161" s="323"/>
      <c r="F1161" s="323"/>
      <c r="G1161" s="812"/>
      <c r="H1161" s="490"/>
      <c r="I1161" s="812"/>
      <c r="J1161" s="743"/>
      <c r="K1161" s="490"/>
      <c r="L1161" s="490"/>
    </row>
    <row r="1162" spans="1:12" s="315" customFormat="1" x14ac:dyDescent="0.25">
      <c r="A1162" s="850"/>
      <c r="B1162" s="499"/>
      <c r="C1162" s="490"/>
      <c r="D1162" s="490"/>
      <c r="E1162" s="323"/>
      <c r="F1162" s="323"/>
      <c r="G1162" s="812"/>
      <c r="H1162" s="490"/>
      <c r="I1162" s="812"/>
      <c r="J1162" s="743"/>
      <c r="K1162" s="490"/>
      <c r="L1162" s="490"/>
    </row>
    <row r="1163" spans="1:12" s="315" customFormat="1" x14ac:dyDescent="0.25">
      <c r="A1163" s="850"/>
      <c r="B1163" s="499"/>
      <c r="C1163" s="490"/>
      <c r="D1163" s="490"/>
      <c r="E1163" s="323"/>
      <c r="F1163" s="323"/>
      <c r="G1163" s="812"/>
      <c r="H1163" s="490"/>
      <c r="I1163" s="812"/>
      <c r="J1163" s="743"/>
      <c r="K1163" s="490"/>
      <c r="L1163" s="490"/>
    </row>
    <row r="1164" spans="1:12" s="315" customFormat="1" x14ac:dyDescent="0.25">
      <c r="A1164" s="850"/>
      <c r="B1164" s="499"/>
      <c r="C1164" s="490"/>
      <c r="D1164" s="490"/>
      <c r="E1164" s="323"/>
      <c r="F1164" s="323"/>
      <c r="G1164" s="812"/>
      <c r="H1164" s="490"/>
      <c r="I1164" s="812"/>
      <c r="J1164" s="743"/>
      <c r="K1164" s="490"/>
      <c r="L1164" s="490"/>
    </row>
    <row r="1165" spans="1:12" s="315" customFormat="1" x14ac:dyDescent="0.25">
      <c r="A1165" s="850"/>
      <c r="B1165" s="499"/>
      <c r="C1165" s="490"/>
      <c r="D1165" s="490"/>
      <c r="E1165" s="323"/>
      <c r="F1165" s="323"/>
      <c r="G1165" s="812"/>
      <c r="H1165" s="490"/>
      <c r="I1165" s="812"/>
      <c r="J1165" s="743"/>
      <c r="K1165" s="490"/>
      <c r="L1165" s="490"/>
    </row>
    <row r="1166" spans="1:12" s="315" customFormat="1" x14ac:dyDescent="0.25">
      <c r="A1166" s="850"/>
      <c r="B1166" s="499"/>
      <c r="C1166" s="490"/>
      <c r="D1166" s="490"/>
      <c r="E1166" s="323"/>
      <c r="F1166" s="323"/>
      <c r="G1166" s="812"/>
      <c r="H1166" s="490"/>
      <c r="I1166" s="812"/>
      <c r="J1166" s="743"/>
      <c r="K1166" s="490"/>
      <c r="L1166" s="490"/>
    </row>
    <row r="1167" spans="1:12" s="315" customFormat="1" x14ac:dyDescent="0.25">
      <c r="A1167" s="850"/>
      <c r="B1167" s="499"/>
      <c r="C1167" s="490"/>
      <c r="D1167" s="490"/>
      <c r="E1167" s="323"/>
      <c r="F1167" s="323"/>
      <c r="G1167" s="812"/>
      <c r="H1167" s="490"/>
      <c r="I1167" s="812"/>
      <c r="J1167" s="743"/>
      <c r="K1167" s="490"/>
      <c r="L1167" s="490"/>
    </row>
    <row r="1168" spans="1:12" s="315" customFormat="1" x14ac:dyDescent="0.25">
      <c r="A1168" s="850"/>
      <c r="B1168" s="499"/>
      <c r="C1168" s="490"/>
      <c r="D1168" s="490"/>
      <c r="E1168" s="323"/>
      <c r="F1168" s="323"/>
      <c r="G1168" s="812"/>
      <c r="H1168" s="490"/>
      <c r="I1168" s="812"/>
      <c r="J1168" s="743"/>
      <c r="K1168" s="490"/>
      <c r="L1168" s="490"/>
    </row>
    <row r="1169" spans="1:12" s="315" customFormat="1" x14ac:dyDescent="0.25">
      <c r="A1169" s="850"/>
      <c r="B1169" s="499"/>
      <c r="C1169" s="490"/>
      <c r="D1169" s="490"/>
      <c r="E1169" s="323"/>
      <c r="F1169" s="323"/>
      <c r="G1169" s="812"/>
      <c r="H1169" s="490"/>
      <c r="I1169" s="812"/>
      <c r="J1169" s="743"/>
      <c r="K1169" s="490"/>
      <c r="L1169" s="490"/>
    </row>
    <row r="1170" spans="1:12" s="315" customFormat="1" x14ac:dyDescent="0.25">
      <c r="A1170" s="850"/>
      <c r="B1170" s="499"/>
      <c r="C1170" s="490"/>
      <c r="D1170" s="490"/>
      <c r="E1170" s="323"/>
      <c r="F1170" s="323"/>
      <c r="G1170" s="812"/>
      <c r="H1170" s="490"/>
      <c r="I1170" s="812"/>
      <c r="J1170" s="743"/>
      <c r="K1170" s="490"/>
      <c r="L1170" s="490"/>
    </row>
    <row r="1171" spans="1:12" s="315" customFormat="1" x14ac:dyDescent="0.25">
      <c r="A1171" s="850"/>
      <c r="B1171" s="499"/>
      <c r="C1171" s="490"/>
      <c r="D1171" s="490"/>
      <c r="E1171" s="323"/>
      <c r="F1171" s="323"/>
      <c r="G1171" s="812"/>
      <c r="H1171" s="490"/>
      <c r="I1171" s="812"/>
      <c r="J1171" s="743"/>
      <c r="K1171" s="490"/>
      <c r="L1171" s="490"/>
    </row>
    <row r="1172" spans="1:12" s="315" customFormat="1" x14ac:dyDescent="0.25">
      <c r="A1172" s="850"/>
      <c r="B1172" s="499"/>
      <c r="C1172" s="490"/>
      <c r="D1172" s="490"/>
      <c r="E1172" s="323"/>
      <c r="F1172" s="323"/>
      <c r="G1172" s="812"/>
      <c r="H1172" s="490"/>
      <c r="I1172" s="812"/>
      <c r="J1172" s="743"/>
      <c r="K1172" s="490"/>
      <c r="L1172" s="490"/>
    </row>
    <row r="1173" spans="1:12" s="315" customFormat="1" x14ac:dyDescent="0.25">
      <c r="A1173" s="850"/>
      <c r="B1173" s="499"/>
      <c r="C1173" s="490"/>
      <c r="D1173" s="490"/>
      <c r="E1173" s="323"/>
      <c r="F1173" s="323"/>
      <c r="G1173" s="812"/>
      <c r="H1173" s="490"/>
      <c r="I1173" s="812"/>
      <c r="J1173" s="743"/>
      <c r="K1173" s="490"/>
      <c r="L1173" s="490"/>
    </row>
    <row r="1174" spans="1:12" s="315" customFormat="1" x14ac:dyDescent="0.25">
      <c r="A1174" s="850"/>
      <c r="B1174" s="499"/>
      <c r="C1174" s="490"/>
      <c r="D1174" s="490"/>
      <c r="E1174" s="323"/>
      <c r="F1174" s="323"/>
      <c r="G1174" s="812"/>
      <c r="H1174" s="490"/>
      <c r="I1174" s="812"/>
      <c r="J1174" s="743"/>
      <c r="K1174" s="490"/>
      <c r="L1174" s="490"/>
    </row>
    <row r="1175" spans="1:12" s="315" customFormat="1" x14ac:dyDescent="0.25">
      <c r="A1175" s="850"/>
      <c r="B1175" s="499"/>
      <c r="C1175" s="490"/>
      <c r="D1175" s="490"/>
      <c r="E1175" s="323"/>
      <c r="F1175" s="323"/>
      <c r="G1175" s="812"/>
      <c r="H1175" s="490"/>
      <c r="I1175" s="812"/>
      <c r="J1175" s="743"/>
      <c r="K1175" s="490"/>
      <c r="L1175" s="490"/>
    </row>
    <row r="1176" spans="1:12" s="315" customFormat="1" x14ac:dyDescent="0.25">
      <c r="A1176" s="850"/>
      <c r="B1176" s="499"/>
      <c r="C1176" s="490"/>
      <c r="D1176" s="490"/>
      <c r="E1176" s="323"/>
      <c r="F1176" s="323"/>
      <c r="G1176" s="812"/>
      <c r="H1176" s="490"/>
      <c r="I1176" s="812"/>
      <c r="J1176" s="743"/>
      <c r="K1176" s="490"/>
      <c r="L1176" s="490"/>
    </row>
    <row r="1177" spans="1:12" s="315" customFormat="1" x14ac:dyDescent="0.25">
      <c r="A1177" s="850"/>
      <c r="B1177" s="499"/>
      <c r="C1177" s="490"/>
      <c r="D1177" s="490"/>
      <c r="E1177" s="323"/>
      <c r="F1177" s="323"/>
      <c r="G1177" s="812"/>
      <c r="H1177" s="490"/>
      <c r="I1177" s="812"/>
      <c r="J1177" s="743"/>
      <c r="K1177" s="490"/>
      <c r="L1177" s="490"/>
    </row>
    <row r="1178" spans="1:12" s="315" customFormat="1" x14ac:dyDescent="0.25">
      <c r="A1178" s="850"/>
      <c r="B1178" s="499"/>
      <c r="C1178" s="490"/>
      <c r="D1178" s="490"/>
      <c r="E1178" s="323"/>
      <c r="F1178" s="323"/>
      <c r="G1178" s="812"/>
      <c r="H1178" s="490"/>
      <c r="I1178" s="812"/>
      <c r="J1178" s="743"/>
      <c r="K1178" s="490"/>
      <c r="L1178" s="490"/>
    </row>
    <row r="1179" spans="1:12" s="315" customFormat="1" x14ac:dyDescent="0.25">
      <c r="A1179" s="850"/>
      <c r="B1179" s="499"/>
      <c r="C1179" s="490"/>
      <c r="D1179" s="490"/>
      <c r="E1179" s="323"/>
      <c r="F1179" s="323"/>
      <c r="G1179" s="812"/>
      <c r="H1179" s="490"/>
      <c r="I1179" s="812"/>
      <c r="J1179" s="743"/>
      <c r="K1179" s="490"/>
      <c r="L1179" s="490"/>
    </row>
    <row r="1180" spans="1:12" s="315" customFormat="1" x14ac:dyDescent="0.25">
      <c r="A1180" s="850"/>
      <c r="B1180" s="499"/>
      <c r="C1180" s="490"/>
      <c r="D1180" s="490"/>
      <c r="E1180" s="323"/>
      <c r="F1180" s="323"/>
      <c r="G1180" s="812"/>
      <c r="H1180" s="490"/>
      <c r="I1180" s="812"/>
      <c r="J1180" s="743"/>
      <c r="K1180" s="490"/>
      <c r="L1180" s="490"/>
    </row>
    <row r="1181" spans="1:12" s="315" customFormat="1" x14ac:dyDescent="0.25">
      <c r="A1181" s="850"/>
      <c r="B1181" s="499"/>
      <c r="C1181" s="490"/>
      <c r="D1181" s="490"/>
      <c r="E1181" s="323"/>
      <c r="F1181" s="323"/>
      <c r="G1181" s="812"/>
      <c r="H1181" s="490"/>
      <c r="I1181" s="812"/>
      <c r="J1181" s="743"/>
      <c r="K1181" s="490"/>
      <c r="L1181" s="490"/>
    </row>
    <row r="1182" spans="1:12" s="315" customFormat="1" x14ac:dyDescent="0.25">
      <c r="A1182" s="850"/>
      <c r="B1182" s="499"/>
      <c r="C1182" s="490"/>
      <c r="D1182" s="490"/>
      <c r="E1182" s="323"/>
      <c r="F1182" s="323"/>
      <c r="G1182" s="812"/>
      <c r="H1182" s="490"/>
      <c r="I1182" s="812"/>
      <c r="J1182" s="743"/>
      <c r="K1182" s="490"/>
      <c r="L1182" s="490"/>
    </row>
    <row r="1183" spans="1:12" s="315" customFormat="1" x14ac:dyDescent="0.25">
      <c r="A1183" s="850"/>
      <c r="B1183" s="499"/>
      <c r="C1183" s="490"/>
      <c r="D1183" s="490"/>
      <c r="E1183" s="323"/>
      <c r="F1183" s="323"/>
      <c r="G1183" s="812"/>
      <c r="H1183" s="490"/>
      <c r="I1183" s="812"/>
      <c r="J1183" s="743"/>
      <c r="K1183" s="490"/>
      <c r="L1183" s="490"/>
    </row>
    <row r="1184" spans="1:12" s="315" customFormat="1" x14ac:dyDescent="0.25">
      <c r="A1184" s="850"/>
      <c r="B1184" s="499"/>
      <c r="C1184" s="490"/>
      <c r="D1184" s="490"/>
      <c r="E1184" s="323"/>
      <c r="F1184" s="323"/>
      <c r="G1184" s="812"/>
      <c r="H1184" s="490"/>
      <c r="I1184" s="812"/>
      <c r="J1184" s="743"/>
      <c r="K1184" s="490"/>
      <c r="L1184" s="490"/>
    </row>
    <row r="1185" spans="1:12" s="315" customFormat="1" x14ac:dyDescent="0.25">
      <c r="A1185" s="850"/>
      <c r="B1185" s="499"/>
      <c r="C1185" s="490"/>
      <c r="D1185" s="490"/>
      <c r="E1185" s="323"/>
      <c r="F1185" s="323"/>
      <c r="G1185" s="812"/>
      <c r="H1185" s="490"/>
      <c r="I1185" s="812"/>
      <c r="J1185" s="743"/>
      <c r="K1185" s="490"/>
      <c r="L1185" s="490"/>
    </row>
    <row r="1186" spans="1:12" s="315" customFormat="1" x14ac:dyDescent="0.25">
      <c r="A1186" s="850"/>
      <c r="B1186" s="499"/>
      <c r="C1186" s="490"/>
      <c r="D1186" s="490"/>
      <c r="E1186" s="323"/>
      <c r="F1186" s="323"/>
      <c r="G1186" s="812"/>
      <c r="H1186" s="490"/>
      <c r="I1186" s="812"/>
      <c r="J1186" s="743"/>
      <c r="K1186" s="490"/>
      <c r="L1186" s="490"/>
    </row>
    <row r="1187" spans="1:12" s="315" customFormat="1" x14ac:dyDescent="0.25">
      <c r="A1187" s="850"/>
      <c r="B1187" s="499"/>
      <c r="C1187" s="490"/>
      <c r="D1187" s="490"/>
      <c r="E1187" s="323"/>
      <c r="F1187" s="323"/>
      <c r="G1187" s="812"/>
      <c r="H1187" s="490"/>
      <c r="I1187" s="812"/>
      <c r="J1187" s="743"/>
      <c r="K1187" s="490"/>
      <c r="L1187" s="490"/>
    </row>
    <row r="1188" spans="1:12" s="315" customFormat="1" x14ac:dyDescent="0.25">
      <c r="A1188" s="850"/>
      <c r="B1188" s="499"/>
      <c r="C1188" s="490"/>
      <c r="D1188" s="490"/>
      <c r="E1188" s="323"/>
      <c r="F1188" s="323"/>
      <c r="G1188" s="812"/>
      <c r="H1188" s="490"/>
      <c r="I1188" s="812"/>
      <c r="J1188" s="743"/>
      <c r="K1188" s="490"/>
      <c r="L1188" s="490"/>
    </row>
    <row r="1189" spans="1:12" s="315" customFormat="1" x14ac:dyDescent="0.25">
      <c r="A1189" s="850"/>
      <c r="B1189" s="499"/>
      <c r="C1189" s="490"/>
      <c r="D1189" s="490"/>
      <c r="E1189" s="323"/>
      <c r="F1189" s="323"/>
      <c r="G1189" s="812"/>
      <c r="H1189" s="490"/>
      <c r="I1189" s="812"/>
      <c r="J1189" s="743"/>
      <c r="K1189" s="490"/>
      <c r="L1189" s="490"/>
    </row>
    <row r="1190" spans="1:12" s="315" customFormat="1" x14ac:dyDescent="0.25">
      <c r="A1190" s="850"/>
      <c r="B1190" s="499"/>
      <c r="C1190" s="490"/>
      <c r="D1190" s="490"/>
      <c r="E1190" s="323"/>
      <c r="F1190" s="323"/>
      <c r="G1190" s="812"/>
      <c r="H1190" s="490"/>
      <c r="I1190" s="812"/>
      <c r="J1190" s="743"/>
      <c r="K1190" s="490"/>
      <c r="L1190" s="490"/>
    </row>
    <row r="1191" spans="1:12" s="315" customFormat="1" x14ac:dyDescent="0.25">
      <c r="A1191" s="850"/>
      <c r="B1191" s="499"/>
      <c r="C1191" s="490"/>
      <c r="D1191" s="490"/>
      <c r="E1191" s="323"/>
      <c r="F1191" s="323"/>
      <c r="G1191" s="812"/>
      <c r="H1191" s="490"/>
      <c r="I1191" s="812"/>
      <c r="J1191" s="743"/>
      <c r="K1191" s="490"/>
      <c r="L1191" s="490"/>
    </row>
    <row r="1192" spans="1:12" s="315" customFormat="1" x14ac:dyDescent="0.25">
      <c r="A1192" s="850"/>
      <c r="B1192" s="499"/>
      <c r="C1192" s="490"/>
      <c r="D1192" s="490"/>
      <c r="E1192" s="323"/>
      <c r="F1192" s="323"/>
      <c r="G1192" s="812"/>
      <c r="H1192" s="490"/>
      <c r="I1192" s="812"/>
      <c r="J1192" s="743"/>
      <c r="K1192" s="490"/>
      <c r="L1192" s="490"/>
    </row>
    <row r="1193" spans="1:12" s="315" customFormat="1" x14ac:dyDescent="0.25">
      <c r="A1193" s="850"/>
      <c r="B1193" s="499"/>
      <c r="C1193" s="490"/>
      <c r="D1193" s="490"/>
      <c r="E1193" s="323"/>
      <c r="F1193" s="323"/>
      <c r="G1193" s="812"/>
      <c r="H1193" s="490"/>
      <c r="I1193" s="812"/>
      <c r="J1193" s="743"/>
      <c r="K1193" s="490"/>
      <c r="L1193" s="490"/>
    </row>
    <row r="1194" spans="1:12" s="315" customFormat="1" x14ac:dyDescent="0.25">
      <c r="A1194" s="850"/>
      <c r="B1194" s="499"/>
      <c r="C1194" s="490"/>
      <c r="D1194" s="490"/>
      <c r="E1194" s="323"/>
      <c r="F1194" s="323"/>
      <c r="G1194" s="812"/>
      <c r="H1194" s="490"/>
      <c r="I1194" s="812"/>
      <c r="J1194" s="743"/>
      <c r="K1194" s="490"/>
      <c r="L1194" s="490"/>
    </row>
    <row r="1195" spans="1:12" s="315" customFormat="1" x14ac:dyDescent="0.25">
      <c r="A1195" s="850"/>
      <c r="B1195" s="499"/>
      <c r="C1195" s="490"/>
      <c r="D1195" s="490"/>
      <c r="E1195" s="323"/>
      <c r="F1195" s="323"/>
      <c r="G1195" s="812"/>
      <c r="H1195" s="490"/>
      <c r="I1195" s="812"/>
      <c r="J1195" s="743"/>
      <c r="K1195" s="490"/>
      <c r="L1195" s="490"/>
    </row>
    <row r="1196" spans="1:12" s="315" customFormat="1" x14ac:dyDescent="0.25">
      <c r="A1196" s="850"/>
      <c r="B1196" s="499"/>
      <c r="C1196" s="490"/>
      <c r="D1196" s="490"/>
      <c r="E1196" s="323"/>
      <c r="F1196" s="323"/>
      <c r="G1196" s="812"/>
      <c r="H1196" s="490"/>
      <c r="I1196" s="812"/>
      <c r="J1196" s="743"/>
      <c r="K1196" s="490"/>
      <c r="L1196" s="490"/>
    </row>
    <row r="1197" spans="1:12" s="315" customFormat="1" x14ac:dyDescent="0.25">
      <c r="A1197" s="850"/>
      <c r="B1197" s="499"/>
      <c r="C1197" s="490"/>
      <c r="D1197" s="490"/>
      <c r="E1197" s="323"/>
      <c r="F1197" s="323"/>
      <c r="G1197" s="812"/>
      <c r="H1197" s="490"/>
      <c r="I1197" s="812"/>
      <c r="J1197" s="743"/>
      <c r="K1197" s="490"/>
      <c r="L1197" s="490"/>
    </row>
    <row r="1198" spans="1:12" s="315" customFormat="1" x14ac:dyDescent="0.25">
      <c r="A1198" s="850"/>
      <c r="B1198" s="499"/>
      <c r="C1198" s="490"/>
      <c r="D1198" s="490"/>
      <c r="E1198" s="323"/>
      <c r="F1198" s="323"/>
      <c r="G1198" s="812"/>
      <c r="H1198" s="490"/>
      <c r="I1198" s="812"/>
      <c r="J1198" s="743"/>
      <c r="K1198" s="490"/>
      <c r="L1198" s="490"/>
    </row>
    <row r="1199" spans="1:12" s="315" customFormat="1" x14ac:dyDescent="0.25">
      <c r="A1199" s="850"/>
      <c r="B1199" s="499"/>
      <c r="C1199" s="490"/>
      <c r="D1199" s="490"/>
      <c r="E1199" s="323"/>
      <c r="F1199" s="323"/>
      <c r="G1199" s="812"/>
      <c r="H1199" s="490"/>
      <c r="I1199" s="812"/>
      <c r="J1199" s="743"/>
      <c r="K1199" s="490"/>
      <c r="L1199" s="490"/>
    </row>
    <row r="1200" spans="1:12" s="315" customFormat="1" x14ac:dyDescent="0.25">
      <c r="A1200" s="850"/>
      <c r="B1200" s="499"/>
      <c r="C1200" s="490"/>
      <c r="D1200" s="490"/>
      <c r="E1200" s="323"/>
      <c r="F1200" s="323"/>
      <c r="G1200" s="812"/>
      <c r="H1200" s="490"/>
      <c r="I1200" s="812"/>
      <c r="J1200" s="743"/>
      <c r="K1200" s="490"/>
      <c r="L1200" s="490"/>
    </row>
    <row r="1201" spans="1:12" s="315" customFormat="1" x14ac:dyDescent="0.25">
      <c r="A1201" s="850"/>
      <c r="B1201" s="499"/>
      <c r="C1201" s="490"/>
      <c r="D1201" s="490"/>
      <c r="E1201" s="323"/>
      <c r="F1201" s="323"/>
      <c r="G1201" s="812"/>
      <c r="H1201" s="490"/>
      <c r="I1201" s="812"/>
      <c r="J1201" s="743"/>
      <c r="K1201" s="490"/>
      <c r="L1201" s="490"/>
    </row>
    <row r="1202" spans="1:12" s="315" customFormat="1" x14ac:dyDescent="0.25">
      <c r="A1202" s="850"/>
      <c r="B1202" s="499"/>
      <c r="C1202" s="490"/>
      <c r="D1202" s="490"/>
      <c r="E1202" s="323"/>
      <c r="F1202" s="323"/>
      <c r="G1202" s="812"/>
      <c r="H1202" s="490"/>
      <c r="I1202" s="812"/>
      <c r="J1202" s="743"/>
      <c r="K1202" s="490"/>
      <c r="L1202" s="490"/>
    </row>
    <row r="1203" spans="1:12" s="315" customFormat="1" x14ac:dyDescent="0.25">
      <c r="A1203" s="850"/>
      <c r="B1203" s="499"/>
      <c r="C1203" s="490"/>
      <c r="D1203" s="490"/>
      <c r="E1203" s="323"/>
      <c r="F1203" s="323"/>
      <c r="G1203" s="812"/>
      <c r="H1203" s="490"/>
      <c r="I1203" s="812"/>
      <c r="J1203" s="743"/>
      <c r="K1203" s="490"/>
      <c r="L1203" s="490"/>
    </row>
    <row r="1204" spans="1:12" s="315" customFormat="1" x14ac:dyDescent="0.25">
      <c r="A1204" s="850"/>
      <c r="B1204" s="499"/>
      <c r="C1204" s="490"/>
      <c r="D1204" s="490"/>
      <c r="E1204" s="323"/>
      <c r="F1204" s="323"/>
      <c r="G1204" s="812"/>
      <c r="H1204" s="490"/>
      <c r="I1204" s="812"/>
      <c r="J1204" s="743"/>
      <c r="K1204" s="490"/>
      <c r="L1204" s="490"/>
    </row>
    <row r="1205" spans="1:12" s="315" customFormat="1" x14ac:dyDescent="0.25">
      <c r="A1205" s="850"/>
      <c r="B1205" s="499"/>
      <c r="C1205" s="490"/>
      <c r="D1205" s="490"/>
      <c r="E1205" s="323"/>
      <c r="F1205" s="323"/>
      <c r="G1205" s="812"/>
      <c r="H1205" s="490"/>
      <c r="I1205" s="812"/>
      <c r="J1205" s="743"/>
      <c r="K1205" s="490"/>
      <c r="L1205" s="490"/>
    </row>
    <row r="1206" spans="1:12" s="315" customFormat="1" x14ac:dyDescent="0.25">
      <c r="A1206" s="850"/>
      <c r="B1206" s="499"/>
      <c r="C1206" s="490"/>
      <c r="D1206" s="490"/>
      <c r="E1206" s="323"/>
      <c r="F1206" s="323"/>
      <c r="G1206" s="812"/>
      <c r="H1206" s="490"/>
      <c r="I1206" s="812"/>
      <c r="J1206" s="743"/>
      <c r="K1206" s="490"/>
      <c r="L1206" s="490"/>
    </row>
    <row r="1207" spans="1:12" s="315" customFormat="1" x14ac:dyDescent="0.25">
      <c r="A1207" s="850"/>
      <c r="B1207" s="499"/>
      <c r="C1207" s="490"/>
      <c r="D1207" s="490"/>
      <c r="E1207" s="323"/>
      <c r="F1207" s="323"/>
      <c r="G1207" s="812"/>
      <c r="H1207" s="490"/>
      <c r="I1207" s="812"/>
      <c r="J1207" s="743"/>
      <c r="K1207" s="490"/>
      <c r="L1207" s="490"/>
    </row>
    <row r="1208" spans="1:12" s="315" customFormat="1" x14ac:dyDescent="0.25">
      <c r="A1208" s="850"/>
      <c r="B1208" s="499"/>
      <c r="C1208" s="490"/>
      <c r="D1208" s="490"/>
      <c r="E1208" s="323"/>
      <c r="F1208" s="323"/>
      <c r="G1208" s="812"/>
      <c r="H1208" s="490"/>
      <c r="I1208" s="812"/>
      <c r="J1208" s="743"/>
      <c r="K1208" s="490"/>
      <c r="L1208" s="490"/>
    </row>
    <row r="1209" spans="1:12" s="315" customFormat="1" x14ac:dyDescent="0.25">
      <c r="A1209" s="850"/>
      <c r="B1209" s="499"/>
      <c r="C1209" s="490"/>
      <c r="D1209" s="490"/>
      <c r="E1209" s="323"/>
      <c r="F1209" s="323"/>
      <c r="G1209" s="812"/>
      <c r="H1209" s="490"/>
      <c r="I1209" s="812"/>
      <c r="J1209" s="743"/>
      <c r="K1209" s="490"/>
      <c r="L1209" s="490"/>
    </row>
    <row r="1210" spans="1:12" s="315" customFormat="1" x14ac:dyDescent="0.25">
      <c r="A1210" s="850"/>
      <c r="B1210" s="499"/>
      <c r="C1210" s="490"/>
      <c r="D1210" s="490"/>
      <c r="E1210" s="323"/>
      <c r="F1210" s="323"/>
      <c r="G1210" s="812"/>
      <c r="H1210" s="490"/>
      <c r="I1210" s="812"/>
      <c r="J1210" s="743"/>
      <c r="K1210" s="490"/>
      <c r="L1210" s="490"/>
    </row>
    <row r="1211" spans="1:12" s="315" customFormat="1" x14ac:dyDescent="0.25">
      <c r="A1211" s="850"/>
      <c r="B1211" s="499"/>
      <c r="C1211" s="490"/>
      <c r="D1211" s="490"/>
      <c r="E1211" s="323"/>
      <c r="F1211" s="323"/>
      <c r="G1211" s="812"/>
      <c r="H1211" s="490"/>
      <c r="I1211" s="812"/>
      <c r="J1211" s="743"/>
      <c r="K1211" s="490"/>
      <c r="L1211" s="490"/>
    </row>
    <row r="1212" spans="1:12" s="315" customFormat="1" x14ac:dyDescent="0.25">
      <c r="A1212" s="850"/>
      <c r="B1212" s="499"/>
      <c r="C1212" s="490"/>
      <c r="D1212" s="490"/>
      <c r="E1212" s="323"/>
      <c r="F1212" s="323"/>
      <c r="G1212" s="812"/>
      <c r="H1212" s="490"/>
      <c r="I1212" s="812"/>
      <c r="J1212" s="743"/>
      <c r="K1212" s="490"/>
      <c r="L1212" s="490"/>
    </row>
    <row r="1213" spans="1:12" s="315" customFormat="1" x14ac:dyDescent="0.25">
      <c r="A1213" s="850"/>
      <c r="B1213" s="499"/>
      <c r="C1213" s="490"/>
      <c r="D1213" s="490"/>
      <c r="E1213" s="323"/>
      <c r="F1213" s="323"/>
      <c r="G1213" s="812"/>
      <c r="H1213" s="490"/>
      <c r="I1213" s="812"/>
      <c r="J1213" s="743"/>
      <c r="K1213" s="490"/>
      <c r="L1213" s="490"/>
    </row>
    <row r="1214" spans="1:12" s="315" customFormat="1" x14ac:dyDescent="0.25">
      <c r="A1214" s="850"/>
      <c r="B1214" s="499"/>
      <c r="C1214" s="490"/>
      <c r="D1214" s="490"/>
      <c r="E1214" s="323"/>
      <c r="F1214" s="323"/>
      <c r="G1214" s="812"/>
      <c r="H1214" s="490"/>
      <c r="I1214" s="812"/>
      <c r="J1214" s="743"/>
      <c r="K1214" s="490"/>
      <c r="L1214" s="490"/>
    </row>
    <row r="1215" spans="1:12" s="315" customFormat="1" x14ac:dyDescent="0.25">
      <c r="A1215" s="850"/>
      <c r="B1215" s="499"/>
      <c r="C1215" s="490"/>
      <c r="D1215" s="490"/>
      <c r="E1215" s="323"/>
      <c r="F1215" s="323"/>
      <c r="G1215" s="812"/>
      <c r="H1215" s="490"/>
      <c r="I1215" s="812"/>
      <c r="J1215" s="743"/>
      <c r="K1215" s="490"/>
      <c r="L1215" s="490"/>
    </row>
    <row r="1216" spans="1:12" s="315" customFormat="1" x14ac:dyDescent="0.25">
      <c r="A1216" s="850"/>
      <c r="B1216" s="499"/>
      <c r="C1216" s="490"/>
      <c r="D1216" s="490"/>
      <c r="E1216" s="323"/>
      <c r="F1216" s="323"/>
      <c r="G1216" s="812"/>
      <c r="H1216" s="490"/>
      <c r="I1216" s="812"/>
      <c r="J1216" s="743"/>
      <c r="K1216" s="490"/>
      <c r="L1216" s="490"/>
    </row>
    <row r="1217" spans="1:12" s="315" customFormat="1" x14ac:dyDescent="0.25">
      <c r="A1217" s="850"/>
      <c r="B1217" s="499"/>
      <c r="C1217" s="490"/>
      <c r="D1217" s="490"/>
      <c r="E1217" s="323"/>
      <c r="F1217" s="323"/>
      <c r="G1217" s="812"/>
      <c r="H1217" s="490"/>
      <c r="I1217" s="812"/>
      <c r="J1217" s="743"/>
      <c r="K1217" s="490"/>
      <c r="L1217" s="490"/>
    </row>
    <row r="1218" spans="1:12" s="315" customFormat="1" x14ac:dyDescent="0.25">
      <c r="A1218" s="850"/>
      <c r="B1218" s="499"/>
      <c r="C1218" s="490"/>
      <c r="D1218" s="490"/>
      <c r="E1218" s="323"/>
      <c r="F1218" s="323"/>
      <c r="G1218" s="812"/>
      <c r="H1218" s="490"/>
      <c r="I1218" s="812"/>
      <c r="J1218" s="743"/>
      <c r="K1218" s="490"/>
      <c r="L1218" s="490"/>
    </row>
    <row r="1219" spans="1:12" s="315" customFormat="1" x14ac:dyDescent="0.25">
      <c r="A1219" s="850"/>
      <c r="B1219" s="499"/>
      <c r="C1219" s="490"/>
      <c r="D1219" s="490"/>
      <c r="E1219" s="323"/>
      <c r="F1219" s="323"/>
      <c r="G1219" s="812"/>
      <c r="H1219" s="490"/>
      <c r="I1219" s="812"/>
      <c r="J1219" s="743"/>
      <c r="K1219" s="490"/>
      <c r="L1219" s="490"/>
    </row>
    <row r="1220" spans="1:12" s="315" customFormat="1" x14ac:dyDescent="0.25">
      <c r="A1220" s="850"/>
      <c r="B1220" s="499"/>
      <c r="C1220" s="490"/>
      <c r="D1220" s="490"/>
      <c r="E1220" s="323"/>
      <c r="F1220" s="323"/>
      <c r="G1220" s="812"/>
      <c r="H1220" s="490"/>
      <c r="I1220" s="812"/>
      <c r="J1220" s="743"/>
      <c r="K1220" s="490"/>
      <c r="L1220" s="490"/>
    </row>
    <row r="1221" spans="1:12" s="315" customFormat="1" x14ac:dyDescent="0.25">
      <c r="A1221" s="850"/>
      <c r="B1221" s="499"/>
      <c r="C1221" s="490"/>
      <c r="D1221" s="490"/>
      <c r="E1221" s="323"/>
      <c r="F1221" s="323"/>
      <c r="G1221" s="812"/>
      <c r="H1221" s="490"/>
      <c r="I1221" s="812"/>
      <c r="J1221" s="743"/>
      <c r="K1221" s="490"/>
      <c r="L1221" s="490"/>
    </row>
    <row r="1222" spans="1:12" s="315" customFormat="1" x14ac:dyDescent="0.25">
      <c r="A1222" s="850"/>
      <c r="B1222" s="499"/>
      <c r="C1222" s="490"/>
      <c r="D1222" s="490"/>
      <c r="E1222" s="323"/>
      <c r="F1222" s="323"/>
      <c r="G1222" s="812"/>
      <c r="H1222" s="490"/>
      <c r="I1222" s="812"/>
      <c r="J1222" s="743"/>
      <c r="K1222" s="490"/>
      <c r="L1222" s="490"/>
    </row>
    <row r="1223" spans="1:12" s="315" customFormat="1" x14ac:dyDescent="0.25">
      <c r="A1223" s="850"/>
      <c r="B1223" s="499"/>
      <c r="C1223" s="490"/>
      <c r="D1223" s="490"/>
      <c r="E1223" s="323"/>
      <c r="F1223" s="323"/>
      <c r="G1223" s="812"/>
      <c r="H1223" s="490"/>
      <c r="I1223" s="812"/>
      <c r="J1223" s="743"/>
      <c r="K1223" s="490"/>
      <c r="L1223" s="490"/>
    </row>
    <row r="1224" spans="1:12" s="315" customFormat="1" x14ac:dyDescent="0.25">
      <c r="A1224" s="850"/>
      <c r="B1224" s="499"/>
      <c r="C1224" s="490"/>
      <c r="D1224" s="490"/>
      <c r="E1224" s="323"/>
      <c r="F1224" s="323"/>
      <c r="G1224" s="812"/>
      <c r="H1224" s="490"/>
      <c r="I1224" s="812"/>
      <c r="J1224" s="743"/>
      <c r="K1224" s="490"/>
      <c r="L1224" s="490"/>
    </row>
    <row r="1225" spans="1:12" s="315" customFormat="1" x14ac:dyDescent="0.25">
      <c r="A1225" s="850"/>
      <c r="B1225" s="499"/>
      <c r="C1225" s="490"/>
      <c r="D1225" s="490"/>
      <c r="E1225" s="323"/>
      <c r="F1225" s="323"/>
      <c r="G1225" s="812"/>
      <c r="H1225" s="490"/>
      <c r="I1225" s="812"/>
      <c r="J1225" s="743"/>
      <c r="K1225" s="490"/>
      <c r="L1225" s="490"/>
    </row>
    <row r="1226" spans="1:12" s="315" customFormat="1" x14ac:dyDescent="0.25">
      <c r="A1226" s="850"/>
      <c r="B1226" s="499"/>
      <c r="C1226" s="490"/>
      <c r="D1226" s="490"/>
      <c r="E1226" s="323"/>
      <c r="F1226" s="323"/>
      <c r="G1226" s="812"/>
      <c r="H1226" s="490"/>
      <c r="I1226" s="812"/>
      <c r="J1226" s="743"/>
      <c r="K1226" s="490"/>
      <c r="L1226" s="490"/>
    </row>
    <row r="1227" spans="1:12" s="315" customFormat="1" x14ac:dyDescent="0.25">
      <c r="A1227" s="850"/>
      <c r="B1227" s="499"/>
      <c r="C1227" s="490"/>
      <c r="D1227" s="490"/>
      <c r="E1227" s="323"/>
      <c r="F1227" s="323"/>
      <c r="G1227" s="812"/>
      <c r="H1227" s="490"/>
      <c r="I1227" s="812"/>
      <c r="J1227" s="743"/>
      <c r="K1227" s="490"/>
      <c r="L1227" s="490"/>
    </row>
    <row r="1228" spans="1:12" s="315" customFormat="1" x14ac:dyDescent="0.25">
      <c r="A1228" s="850"/>
      <c r="B1228" s="499"/>
      <c r="C1228" s="490"/>
      <c r="D1228" s="490"/>
      <c r="E1228" s="323"/>
      <c r="F1228" s="323"/>
      <c r="G1228" s="812"/>
      <c r="H1228" s="490"/>
      <c r="I1228" s="812"/>
      <c r="J1228" s="743"/>
      <c r="K1228" s="490"/>
      <c r="L1228" s="490"/>
    </row>
    <row r="1229" spans="1:12" s="315" customFormat="1" x14ac:dyDescent="0.25">
      <c r="A1229" s="850"/>
      <c r="B1229" s="499"/>
      <c r="C1229" s="490"/>
      <c r="D1229" s="490"/>
      <c r="E1229" s="323"/>
      <c r="F1229" s="323"/>
      <c r="G1229" s="812"/>
      <c r="H1229" s="490"/>
      <c r="I1229" s="812"/>
      <c r="J1229" s="743"/>
      <c r="K1229" s="490"/>
      <c r="L1229" s="490"/>
    </row>
    <row r="1230" spans="1:12" s="315" customFormat="1" x14ac:dyDescent="0.25">
      <c r="A1230" s="850"/>
      <c r="B1230" s="499"/>
      <c r="C1230" s="490"/>
      <c r="D1230" s="490"/>
      <c r="E1230" s="323"/>
      <c r="F1230" s="323"/>
      <c r="G1230" s="812"/>
      <c r="H1230" s="490"/>
      <c r="I1230" s="812"/>
      <c r="J1230" s="743"/>
      <c r="K1230" s="490"/>
      <c r="L1230" s="490"/>
    </row>
    <row r="1231" spans="1:12" s="315" customFormat="1" x14ac:dyDescent="0.25">
      <c r="A1231" s="850"/>
      <c r="B1231" s="499"/>
      <c r="C1231" s="490"/>
      <c r="D1231" s="490"/>
      <c r="E1231" s="323"/>
      <c r="F1231" s="323"/>
      <c r="G1231" s="812"/>
      <c r="H1231" s="490"/>
      <c r="I1231" s="812"/>
      <c r="J1231" s="743"/>
      <c r="K1231" s="490"/>
      <c r="L1231" s="490"/>
    </row>
    <row r="1232" spans="1:12" s="315" customFormat="1" x14ac:dyDescent="0.25">
      <c r="A1232" s="850"/>
      <c r="B1232" s="499"/>
      <c r="C1232" s="490"/>
      <c r="D1232" s="490"/>
      <c r="E1232" s="323"/>
      <c r="F1232" s="323"/>
      <c r="G1232" s="812"/>
      <c r="H1232" s="490"/>
      <c r="I1232" s="812"/>
      <c r="J1232" s="743"/>
      <c r="K1232" s="490"/>
      <c r="L1232" s="490"/>
    </row>
    <row r="1233" spans="1:12" s="315" customFormat="1" x14ac:dyDescent="0.25">
      <c r="A1233" s="850"/>
      <c r="B1233" s="499"/>
      <c r="C1233" s="490"/>
      <c r="D1233" s="490"/>
      <c r="E1233" s="323"/>
      <c r="F1233" s="323"/>
      <c r="G1233" s="812"/>
      <c r="H1233" s="490"/>
      <c r="I1233" s="812"/>
      <c r="J1233" s="743"/>
      <c r="K1233" s="490"/>
      <c r="L1233" s="490"/>
    </row>
    <row r="1234" spans="1:12" s="315" customFormat="1" x14ac:dyDescent="0.25">
      <c r="A1234" s="850"/>
      <c r="B1234" s="499"/>
      <c r="C1234" s="490"/>
      <c r="D1234" s="490"/>
      <c r="E1234" s="323"/>
      <c r="F1234" s="323"/>
      <c r="G1234" s="812"/>
      <c r="H1234" s="490"/>
      <c r="I1234" s="812"/>
      <c r="J1234" s="743"/>
      <c r="K1234" s="490"/>
      <c r="L1234" s="490"/>
    </row>
    <row r="1235" spans="1:12" s="315" customFormat="1" x14ac:dyDescent="0.25">
      <c r="A1235" s="850"/>
      <c r="B1235" s="499"/>
      <c r="C1235" s="490"/>
      <c r="D1235" s="490"/>
      <c r="E1235" s="323"/>
      <c r="F1235" s="323"/>
      <c r="G1235" s="812"/>
      <c r="H1235" s="490"/>
      <c r="I1235" s="812"/>
      <c r="J1235" s="743"/>
      <c r="K1235" s="490"/>
      <c r="L1235" s="490"/>
    </row>
    <row r="1236" spans="1:12" s="315" customFormat="1" x14ac:dyDescent="0.25">
      <c r="A1236" s="850"/>
      <c r="B1236" s="499"/>
      <c r="C1236" s="490"/>
      <c r="D1236" s="490"/>
      <c r="E1236" s="323"/>
      <c r="F1236" s="323"/>
      <c r="G1236" s="812"/>
      <c r="H1236" s="490"/>
      <c r="I1236" s="812"/>
      <c r="J1236" s="743"/>
      <c r="K1236" s="490"/>
      <c r="L1236" s="490"/>
    </row>
    <row r="1237" spans="1:12" s="315" customFormat="1" x14ac:dyDescent="0.25">
      <c r="A1237" s="850"/>
      <c r="B1237" s="499"/>
      <c r="C1237" s="490"/>
      <c r="D1237" s="490"/>
      <c r="E1237" s="323"/>
      <c r="F1237" s="323"/>
      <c r="G1237" s="812"/>
      <c r="H1237" s="490"/>
      <c r="I1237" s="812"/>
      <c r="J1237" s="743"/>
      <c r="K1237" s="490"/>
      <c r="L1237" s="490"/>
    </row>
    <row r="1238" spans="1:12" s="315" customFormat="1" x14ac:dyDescent="0.25">
      <c r="A1238" s="850"/>
      <c r="B1238" s="499"/>
      <c r="C1238" s="490"/>
      <c r="D1238" s="490"/>
      <c r="E1238" s="323"/>
      <c r="F1238" s="323"/>
      <c r="G1238" s="812"/>
      <c r="H1238" s="490"/>
      <c r="I1238" s="812"/>
      <c r="J1238" s="743"/>
      <c r="K1238" s="490"/>
      <c r="L1238" s="490"/>
    </row>
    <row r="1239" spans="1:12" s="315" customFormat="1" x14ac:dyDescent="0.25">
      <c r="A1239" s="850"/>
      <c r="B1239" s="499"/>
      <c r="C1239" s="490"/>
      <c r="D1239" s="490"/>
      <c r="E1239" s="323"/>
      <c r="F1239" s="323"/>
      <c r="G1239" s="812"/>
      <c r="H1239" s="490"/>
      <c r="I1239" s="812"/>
      <c r="J1239" s="743"/>
      <c r="K1239" s="490"/>
      <c r="L1239" s="490"/>
    </row>
    <row r="1240" spans="1:12" s="315" customFormat="1" x14ac:dyDescent="0.25">
      <c r="A1240" s="850"/>
      <c r="B1240" s="499"/>
      <c r="C1240" s="490"/>
      <c r="D1240" s="490"/>
      <c r="E1240" s="323"/>
      <c r="F1240" s="323"/>
      <c r="G1240" s="812"/>
      <c r="H1240" s="490"/>
      <c r="I1240" s="812"/>
      <c r="J1240" s="743"/>
      <c r="K1240" s="490"/>
      <c r="L1240" s="490"/>
    </row>
    <row r="1241" spans="1:12" s="315" customFormat="1" x14ac:dyDescent="0.25">
      <c r="A1241" s="850"/>
      <c r="B1241" s="499"/>
      <c r="C1241" s="490"/>
      <c r="D1241" s="490"/>
      <c r="E1241" s="323"/>
      <c r="F1241" s="323"/>
      <c r="G1241" s="812"/>
      <c r="H1241" s="490"/>
      <c r="I1241" s="812"/>
      <c r="J1241" s="743"/>
      <c r="K1241" s="490"/>
      <c r="L1241" s="490"/>
    </row>
    <row r="1242" spans="1:12" s="315" customFormat="1" x14ac:dyDescent="0.25">
      <c r="A1242" s="850"/>
      <c r="B1242" s="499"/>
      <c r="C1242" s="490"/>
      <c r="D1242" s="490"/>
      <c r="E1242" s="323"/>
      <c r="F1242" s="323"/>
      <c r="G1242" s="812"/>
      <c r="H1242" s="490"/>
      <c r="I1242" s="812"/>
      <c r="J1242" s="743"/>
      <c r="K1242" s="490"/>
      <c r="L1242" s="490"/>
    </row>
    <row r="1243" spans="1:12" s="315" customFormat="1" x14ac:dyDescent="0.25">
      <c r="A1243" s="850"/>
      <c r="B1243" s="499"/>
      <c r="C1243" s="490"/>
      <c r="D1243" s="490"/>
      <c r="E1243" s="323"/>
      <c r="F1243" s="323"/>
      <c r="G1243" s="812"/>
      <c r="H1243" s="490"/>
      <c r="I1243" s="812"/>
      <c r="J1243" s="743"/>
      <c r="K1243" s="490"/>
      <c r="L1243" s="490"/>
    </row>
    <row r="1244" spans="1:12" s="315" customFormat="1" x14ac:dyDescent="0.25">
      <c r="A1244" s="850"/>
      <c r="B1244" s="499"/>
      <c r="C1244" s="490"/>
      <c r="D1244" s="490"/>
      <c r="E1244" s="323"/>
      <c r="F1244" s="323"/>
      <c r="G1244" s="812"/>
      <c r="H1244" s="490"/>
      <c r="I1244" s="812"/>
      <c r="J1244" s="743"/>
      <c r="K1244" s="490"/>
      <c r="L1244" s="490"/>
    </row>
    <row r="1245" spans="1:12" s="315" customFormat="1" x14ac:dyDescent="0.25">
      <c r="A1245" s="850"/>
      <c r="B1245" s="499"/>
      <c r="C1245" s="490"/>
      <c r="D1245" s="490"/>
      <c r="E1245" s="323"/>
      <c r="F1245" s="323"/>
      <c r="G1245" s="812"/>
      <c r="H1245" s="490"/>
      <c r="I1245" s="812"/>
      <c r="J1245" s="743"/>
      <c r="K1245" s="490"/>
      <c r="L1245" s="490"/>
    </row>
    <row r="1246" spans="1:12" s="315" customFormat="1" x14ac:dyDescent="0.25">
      <c r="A1246" s="850"/>
      <c r="B1246" s="499"/>
      <c r="C1246" s="490"/>
      <c r="D1246" s="490"/>
      <c r="E1246" s="323"/>
      <c r="F1246" s="323"/>
      <c r="G1246" s="812"/>
      <c r="H1246" s="490"/>
      <c r="I1246" s="812"/>
      <c r="J1246" s="743"/>
      <c r="K1246" s="490"/>
      <c r="L1246" s="490"/>
    </row>
    <row r="1247" spans="1:12" s="315" customFormat="1" x14ac:dyDescent="0.25">
      <c r="A1247" s="850"/>
      <c r="B1247" s="499"/>
      <c r="C1247" s="490"/>
      <c r="D1247" s="490"/>
      <c r="E1247" s="323"/>
      <c r="F1247" s="323"/>
      <c r="G1247" s="812"/>
      <c r="H1247" s="490"/>
      <c r="I1247" s="812"/>
      <c r="J1247" s="743"/>
      <c r="K1247" s="490"/>
      <c r="L1247" s="490"/>
    </row>
    <row r="1248" spans="1:12" s="315" customFormat="1" x14ac:dyDescent="0.25">
      <c r="A1248" s="850"/>
      <c r="B1248" s="499"/>
      <c r="C1248" s="490"/>
      <c r="D1248" s="490"/>
      <c r="E1248" s="323"/>
      <c r="F1248" s="323"/>
      <c r="G1248" s="812"/>
      <c r="H1248" s="490"/>
      <c r="I1248" s="812"/>
      <c r="J1248" s="743"/>
      <c r="K1248" s="490"/>
      <c r="L1248" s="490"/>
    </row>
    <row r="1249" spans="1:12" s="315" customFormat="1" x14ac:dyDescent="0.25">
      <c r="A1249" s="850"/>
      <c r="B1249" s="499"/>
      <c r="C1249" s="490"/>
      <c r="D1249" s="490"/>
      <c r="E1249" s="323"/>
      <c r="F1249" s="323"/>
      <c r="G1249" s="812"/>
      <c r="H1249" s="490"/>
      <c r="I1249" s="812"/>
      <c r="J1249" s="743"/>
      <c r="K1249" s="490"/>
      <c r="L1249" s="490"/>
    </row>
    <row r="1250" spans="1:12" s="315" customFormat="1" x14ac:dyDescent="0.25">
      <c r="A1250" s="850"/>
      <c r="B1250" s="499"/>
      <c r="C1250" s="490"/>
      <c r="D1250" s="490"/>
      <c r="E1250" s="323"/>
      <c r="F1250" s="323"/>
      <c r="G1250" s="812"/>
      <c r="H1250" s="490"/>
      <c r="I1250" s="812"/>
      <c r="J1250" s="743"/>
      <c r="K1250" s="490"/>
      <c r="L1250" s="490"/>
    </row>
    <row r="1251" spans="1:12" s="315" customFormat="1" x14ac:dyDescent="0.25">
      <c r="A1251" s="850"/>
      <c r="B1251" s="499"/>
      <c r="C1251" s="490"/>
      <c r="D1251" s="490"/>
      <c r="E1251" s="323"/>
      <c r="F1251" s="323"/>
      <c r="G1251" s="812"/>
      <c r="H1251" s="490"/>
      <c r="I1251" s="812"/>
      <c r="J1251" s="743"/>
      <c r="K1251" s="490"/>
      <c r="L1251" s="490"/>
    </row>
    <row r="1252" spans="1:12" s="315" customFormat="1" x14ac:dyDescent="0.25">
      <c r="A1252" s="850"/>
      <c r="B1252" s="499"/>
      <c r="C1252" s="490"/>
      <c r="D1252" s="490"/>
      <c r="E1252" s="323"/>
      <c r="F1252" s="323"/>
      <c r="G1252" s="812"/>
      <c r="H1252" s="490"/>
      <c r="I1252" s="812"/>
      <c r="J1252" s="743"/>
      <c r="K1252" s="490"/>
      <c r="L1252" s="490"/>
    </row>
    <row r="1253" spans="1:12" s="315" customFormat="1" x14ac:dyDescent="0.25">
      <c r="A1253" s="850"/>
      <c r="B1253" s="499"/>
      <c r="C1253" s="490"/>
      <c r="D1253" s="490"/>
      <c r="E1253" s="323"/>
      <c r="F1253" s="323"/>
      <c r="G1253" s="812"/>
      <c r="H1253" s="490"/>
      <c r="I1253" s="812"/>
      <c r="J1253" s="743"/>
      <c r="K1253" s="490"/>
      <c r="L1253" s="490"/>
    </row>
    <row r="1254" spans="1:12" s="315" customFormat="1" x14ac:dyDescent="0.25">
      <c r="A1254" s="850"/>
      <c r="B1254" s="499"/>
      <c r="C1254" s="490"/>
      <c r="D1254" s="490"/>
      <c r="E1254" s="323"/>
      <c r="F1254" s="323"/>
      <c r="G1254" s="812"/>
      <c r="H1254" s="490"/>
      <c r="I1254" s="812"/>
      <c r="J1254" s="743"/>
      <c r="K1254" s="490"/>
      <c r="L1254" s="490"/>
    </row>
    <row r="1255" spans="1:12" s="315" customFormat="1" x14ac:dyDescent="0.25">
      <c r="A1255" s="850"/>
      <c r="B1255" s="499"/>
      <c r="C1255" s="490"/>
      <c r="D1255" s="490"/>
      <c r="E1255" s="323"/>
      <c r="F1255" s="323"/>
      <c r="G1255" s="812"/>
      <c r="H1255" s="490"/>
      <c r="I1255" s="812"/>
      <c r="J1255" s="743"/>
      <c r="K1255" s="490"/>
      <c r="L1255" s="490"/>
    </row>
    <row r="1256" spans="1:12" s="315" customFormat="1" x14ac:dyDescent="0.25">
      <c r="A1256" s="850"/>
      <c r="B1256" s="499"/>
      <c r="C1256" s="490"/>
      <c r="D1256" s="490"/>
      <c r="E1256" s="323"/>
      <c r="F1256" s="323"/>
      <c r="G1256" s="812"/>
      <c r="H1256" s="490"/>
      <c r="I1256" s="812"/>
      <c r="J1256" s="743"/>
      <c r="K1256" s="490"/>
      <c r="L1256" s="490"/>
    </row>
    <row r="1257" spans="1:12" s="315" customFormat="1" x14ac:dyDescent="0.25">
      <c r="A1257" s="850"/>
      <c r="B1257" s="499"/>
      <c r="C1257" s="490"/>
      <c r="D1257" s="490"/>
      <c r="E1257" s="323"/>
      <c r="F1257" s="323"/>
      <c r="G1257" s="812"/>
      <c r="H1257" s="490"/>
      <c r="I1257" s="812"/>
      <c r="J1257" s="743"/>
      <c r="K1257" s="490"/>
      <c r="L1257" s="490"/>
    </row>
    <row r="1258" spans="1:12" s="315" customFormat="1" x14ac:dyDescent="0.25">
      <c r="A1258" s="850"/>
      <c r="B1258" s="499"/>
      <c r="C1258" s="490"/>
      <c r="D1258" s="490"/>
      <c r="E1258" s="323"/>
      <c r="F1258" s="323"/>
      <c r="G1258" s="812"/>
      <c r="H1258" s="490"/>
      <c r="I1258" s="812"/>
      <c r="J1258" s="743"/>
      <c r="K1258" s="490"/>
      <c r="L1258" s="490"/>
    </row>
    <row r="1259" spans="1:12" s="315" customFormat="1" x14ac:dyDescent="0.25">
      <c r="A1259" s="850"/>
      <c r="B1259" s="499"/>
      <c r="C1259" s="490"/>
      <c r="D1259" s="490"/>
      <c r="E1259" s="323"/>
      <c r="F1259" s="323"/>
      <c r="G1259" s="812"/>
      <c r="H1259" s="490"/>
      <c r="I1259" s="812"/>
      <c r="J1259" s="743"/>
      <c r="K1259" s="490"/>
      <c r="L1259" s="490"/>
    </row>
    <row r="1260" spans="1:12" s="315" customFormat="1" x14ac:dyDescent="0.25">
      <c r="A1260" s="850"/>
      <c r="B1260" s="499"/>
      <c r="C1260" s="490"/>
      <c r="D1260" s="490"/>
      <c r="E1260" s="323"/>
      <c r="F1260" s="323"/>
      <c r="G1260" s="812"/>
      <c r="H1260" s="490"/>
      <c r="I1260" s="812"/>
      <c r="J1260" s="743"/>
      <c r="K1260" s="490"/>
      <c r="L1260" s="490"/>
    </row>
    <row r="1261" spans="1:12" s="315" customFormat="1" x14ac:dyDescent="0.25">
      <c r="A1261" s="850"/>
      <c r="B1261" s="499"/>
      <c r="C1261" s="490"/>
      <c r="D1261" s="490"/>
      <c r="E1261" s="323"/>
      <c r="F1261" s="323"/>
      <c r="G1261" s="812"/>
      <c r="H1261" s="490"/>
      <c r="I1261" s="812"/>
      <c r="J1261" s="743"/>
      <c r="K1261" s="490"/>
      <c r="L1261" s="490"/>
    </row>
    <row r="1262" spans="1:12" s="315" customFormat="1" x14ac:dyDescent="0.25">
      <c r="A1262" s="850"/>
      <c r="B1262" s="499"/>
      <c r="C1262" s="490"/>
      <c r="D1262" s="490"/>
      <c r="E1262" s="323"/>
      <c r="F1262" s="323"/>
      <c r="G1262" s="812"/>
      <c r="H1262" s="490"/>
      <c r="I1262" s="812"/>
      <c r="J1262" s="743"/>
      <c r="K1262" s="490"/>
      <c r="L1262" s="490"/>
    </row>
    <row r="1263" spans="1:12" s="315" customFormat="1" x14ac:dyDescent="0.25">
      <c r="A1263" s="850"/>
      <c r="B1263" s="499"/>
      <c r="C1263" s="490"/>
      <c r="D1263" s="490"/>
      <c r="E1263" s="323"/>
      <c r="F1263" s="323"/>
      <c r="G1263" s="812"/>
      <c r="H1263" s="490"/>
      <c r="I1263" s="812"/>
      <c r="J1263" s="743"/>
      <c r="K1263" s="490"/>
      <c r="L1263" s="490"/>
    </row>
    <row r="1264" spans="1:12" s="315" customFormat="1" x14ac:dyDescent="0.25">
      <c r="A1264" s="850"/>
      <c r="B1264" s="499"/>
      <c r="C1264" s="490"/>
      <c r="D1264" s="490"/>
      <c r="E1264" s="323"/>
      <c r="F1264" s="323"/>
      <c r="G1264" s="812"/>
      <c r="H1264" s="490"/>
      <c r="I1264" s="812"/>
      <c r="J1264" s="743"/>
      <c r="K1264" s="490"/>
      <c r="L1264" s="490"/>
    </row>
    <row r="1265" spans="1:12" s="315" customFormat="1" x14ac:dyDescent="0.25">
      <c r="A1265" s="850"/>
      <c r="B1265" s="499"/>
      <c r="C1265" s="490"/>
      <c r="D1265" s="490"/>
      <c r="E1265" s="323"/>
      <c r="F1265" s="323"/>
      <c r="G1265" s="812"/>
      <c r="H1265" s="490"/>
      <c r="I1265" s="812"/>
      <c r="J1265" s="743"/>
      <c r="K1265" s="490"/>
      <c r="L1265" s="490"/>
    </row>
    <row r="1266" spans="1:12" s="315" customFormat="1" x14ac:dyDescent="0.25">
      <c r="A1266" s="850"/>
      <c r="B1266" s="499"/>
      <c r="C1266" s="490"/>
      <c r="D1266" s="490"/>
      <c r="E1266" s="323"/>
      <c r="F1266" s="323"/>
      <c r="G1266" s="812"/>
      <c r="H1266" s="490"/>
      <c r="I1266" s="812"/>
      <c r="J1266" s="743"/>
      <c r="K1266" s="490"/>
      <c r="L1266" s="490"/>
    </row>
    <row r="1267" spans="1:12" s="315" customFormat="1" x14ac:dyDescent="0.25">
      <c r="A1267" s="850"/>
      <c r="B1267" s="499"/>
      <c r="C1267" s="490"/>
      <c r="D1267" s="490"/>
      <c r="E1267" s="323"/>
      <c r="F1267" s="323"/>
      <c r="G1267" s="812"/>
      <c r="H1267" s="490"/>
      <c r="I1267" s="812"/>
      <c r="J1267" s="743"/>
      <c r="K1267" s="490"/>
      <c r="L1267" s="490"/>
    </row>
    <row r="1268" spans="1:12" s="315" customFormat="1" x14ac:dyDescent="0.25">
      <c r="A1268" s="850"/>
      <c r="B1268" s="499"/>
      <c r="C1268" s="490"/>
      <c r="D1268" s="490"/>
      <c r="E1268" s="323"/>
      <c r="F1268" s="323"/>
      <c r="G1268" s="812"/>
      <c r="H1268" s="490"/>
      <c r="I1268" s="812"/>
      <c r="J1268" s="743"/>
      <c r="K1268" s="490"/>
      <c r="L1268" s="490"/>
    </row>
    <row r="1269" spans="1:12" s="315" customFormat="1" x14ac:dyDescent="0.25">
      <c r="A1269" s="850"/>
      <c r="B1269" s="499"/>
      <c r="C1269" s="490"/>
      <c r="D1269" s="490"/>
      <c r="E1269" s="323"/>
      <c r="F1269" s="323"/>
      <c r="G1269" s="812"/>
      <c r="H1269" s="490"/>
      <c r="I1269" s="812"/>
      <c r="J1269" s="743"/>
      <c r="K1269" s="490"/>
      <c r="L1269" s="490"/>
    </row>
    <row r="1270" spans="1:12" s="315" customFormat="1" x14ac:dyDescent="0.25">
      <c r="A1270" s="850"/>
      <c r="B1270" s="499"/>
      <c r="C1270" s="490"/>
      <c r="D1270" s="490"/>
      <c r="E1270" s="323"/>
      <c r="F1270" s="323"/>
      <c r="G1270" s="812"/>
      <c r="H1270" s="490"/>
      <c r="I1270" s="812"/>
      <c r="J1270" s="743"/>
      <c r="K1270" s="490"/>
      <c r="L1270" s="490"/>
    </row>
    <row r="1271" spans="1:12" s="315" customFormat="1" x14ac:dyDescent="0.25">
      <c r="A1271" s="850"/>
      <c r="B1271" s="499"/>
      <c r="C1271" s="490"/>
      <c r="D1271" s="490"/>
      <c r="E1271" s="323"/>
      <c r="F1271" s="323"/>
      <c r="G1271" s="812"/>
      <c r="H1271" s="490"/>
      <c r="I1271" s="812"/>
      <c r="J1271" s="743"/>
      <c r="K1271" s="490"/>
      <c r="L1271" s="490"/>
    </row>
    <row r="1272" spans="1:12" s="315" customFormat="1" x14ac:dyDescent="0.25">
      <c r="A1272" s="850"/>
      <c r="B1272" s="499"/>
      <c r="C1272" s="490"/>
      <c r="D1272" s="490"/>
      <c r="E1272" s="323"/>
      <c r="F1272" s="323"/>
      <c r="G1272" s="812"/>
      <c r="H1272" s="490"/>
      <c r="I1272" s="812"/>
      <c r="J1272" s="743"/>
      <c r="K1272" s="490"/>
      <c r="L1272" s="490"/>
    </row>
    <row r="1273" spans="1:12" s="315" customFormat="1" x14ac:dyDescent="0.25">
      <c r="A1273" s="850"/>
      <c r="B1273" s="499"/>
      <c r="C1273" s="490"/>
      <c r="D1273" s="490"/>
      <c r="E1273" s="323"/>
      <c r="F1273" s="323"/>
      <c r="G1273" s="812"/>
      <c r="H1273" s="490"/>
      <c r="I1273" s="812"/>
      <c r="J1273" s="743"/>
      <c r="K1273" s="490"/>
      <c r="L1273" s="490"/>
    </row>
    <row r="1274" spans="1:12" s="315" customFormat="1" x14ac:dyDescent="0.25">
      <c r="A1274" s="850"/>
      <c r="B1274" s="499"/>
      <c r="C1274" s="490"/>
      <c r="D1274" s="490"/>
      <c r="E1274" s="323"/>
      <c r="F1274" s="323"/>
      <c r="G1274" s="812"/>
      <c r="H1274" s="490"/>
      <c r="I1274" s="812"/>
      <c r="J1274" s="743"/>
      <c r="K1274" s="490"/>
      <c r="L1274" s="490"/>
    </row>
    <row r="1275" spans="1:12" s="315" customFormat="1" x14ac:dyDescent="0.25">
      <c r="A1275" s="850"/>
      <c r="B1275" s="499"/>
      <c r="C1275" s="490"/>
      <c r="D1275" s="490"/>
      <c r="E1275" s="323"/>
      <c r="F1275" s="323"/>
      <c r="G1275" s="812"/>
      <c r="H1275" s="490"/>
      <c r="I1275" s="812"/>
      <c r="J1275" s="743"/>
      <c r="K1275" s="490"/>
      <c r="L1275" s="490"/>
    </row>
    <row r="1276" spans="1:12" s="315" customFormat="1" x14ac:dyDescent="0.25">
      <c r="A1276" s="850"/>
      <c r="B1276" s="499"/>
      <c r="C1276" s="490"/>
      <c r="D1276" s="490"/>
      <c r="E1276" s="323"/>
      <c r="F1276" s="323"/>
      <c r="G1276" s="812"/>
      <c r="H1276" s="490"/>
      <c r="I1276" s="812"/>
      <c r="J1276" s="743"/>
      <c r="K1276" s="490"/>
      <c r="L1276" s="490"/>
    </row>
    <row r="1277" spans="1:12" s="315" customFormat="1" x14ac:dyDescent="0.25">
      <c r="A1277" s="850"/>
      <c r="B1277" s="499"/>
      <c r="C1277" s="490"/>
      <c r="D1277" s="490"/>
      <c r="E1277" s="323"/>
      <c r="F1277" s="323"/>
      <c r="G1277" s="812"/>
      <c r="H1277" s="490"/>
      <c r="I1277" s="812"/>
      <c r="J1277" s="743"/>
      <c r="K1277" s="490"/>
      <c r="L1277" s="490"/>
    </row>
    <row r="1278" spans="1:12" s="315" customFormat="1" x14ac:dyDescent="0.25">
      <c r="A1278" s="850"/>
      <c r="B1278" s="499"/>
      <c r="C1278" s="490"/>
      <c r="D1278" s="490"/>
      <c r="E1278" s="323"/>
      <c r="F1278" s="323"/>
      <c r="G1278" s="812"/>
      <c r="H1278" s="490"/>
      <c r="I1278" s="812"/>
      <c r="J1278" s="743"/>
      <c r="K1278" s="490"/>
      <c r="L1278" s="490"/>
    </row>
    <row r="1279" spans="1:12" s="315" customFormat="1" x14ac:dyDescent="0.25">
      <c r="A1279" s="850"/>
      <c r="B1279" s="499"/>
      <c r="C1279" s="490"/>
      <c r="D1279" s="490"/>
      <c r="E1279" s="323"/>
      <c r="F1279" s="323"/>
      <c r="G1279" s="812"/>
      <c r="H1279" s="490"/>
      <c r="I1279" s="812"/>
      <c r="J1279" s="743"/>
      <c r="K1279" s="490"/>
      <c r="L1279" s="490"/>
    </row>
    <row r="1280" spans="1:12" s="315" customFormat="1" x14ac:dyDescent="0.25">
      <c r="A1280" s="850"/>
      <c r="B1280" s="499"/>
      <c r="C1280" s="490"/>
      <c r="D1280" s="490"/>
      <c r="E1280" s="323"/>
      <c r="F1280" s="323"/>
      <c r="G1280" s="812"/>
      <c r="H1280" s="490"/>
      <c r="I1280" s="812"/>
      <c r="J1280" s="743"/>
      <c r="K1280" s="490"/>
      <c r="L1280" s="490"/>
    </row>
    <row r="1281" spans="1:12" s="315" customFormat="1" x14ac:dyDescent="0.25">
      <c r="A1281" s="850"/>
      <c r="B1281" s="499"/>
      <c r="C1281" s="490"/>
      <c r="D1281" s="490"/>
      <c r="E1281" s="323"/>
      <c r="F1281" s="323"/>
      <c r="G1281" s="812"/>
      <c r="H1281" s="490"/>
      <c r="I1281" s="812"/>
      <c r="J1281" s="743"/>
      <c r="K1281" s="490"/>
      <c r="L1281" s="490"/>
    </row>
    <row r="1282" spans="1:12" s="315" customFormat="1" x14ac:dyDescent="0.25">
      <c r="A1282" s="850"/>
      <c r="B1282" s="499"/>
      <c r="C1282" s="490"/>
      <c r="D1282" s="490"/>
      <c r="E1282" s="323"/>
      <c r="F1282" s="323"/>
      <c r="G1282" s="812"/>
      <c r="H1282" s="490"/>
      <c r="I1282" s="812"/>
      <c r="J1282" s="743"/>
      <c r="K1282" s="490"/>
      <c r="L1282" s="490"/>
    </row>
    <row r="1283" spans="1:12" s="315" customFormat="1" x14ac:dyDescent="0.25">
      <c r="A1283" s="850"/>
      <c r="B1283" s="499"/>
      <c r="C1283" s="490"/>
      <c r="D1283" s="490"/>
      <c r="E1283" s="323"/>
      <c r="F1283" s="323"/>
      <c r="G1283" s="812"/>
      <c r="H1283" s="490"/>
      <c r="I1283" s="812"/>
      <c r="J1283" s="743"/>
      <c r="K1283" s="490"/>
      <c r="L1283" s="490"/>
    </row>
    <row r="1284" spans="1:12" s="315" customFormat="1" x14ac:dyDescent="0.25">
      <c r="A1284" s="850"/>
      <c r="B1284" s="499"/>
      <c r="C1284" s="490"/>
      <c r="D1284" s="490"/>
      <c r="E1284" s="323"/>
      <c r="F1284" s="323"/>
      <c r="G1284" s="812"/>
      <c r="H1284" s="490"/>
      <c r="I1284" s="812"/>
      <c r="J1284" s="743"/>
      <c r="K1284" s="490"/>
      <c r="L1284" s="490"/>
    </row>
    <row r="1285" spans="1:12" s="315" customFormat="1" x14ac:dyDescent="0.25">
      <c r="A1285" s="850"/>
      <c r="B1285" s="499"/>
      <c r="C1285" s="490"/>
      <c r="D1285" s="490"/>
      <c r="E1285" s="323"/>
      <c r="F1285" s="323"/>
      <c r="G1285" s="812"/>
      <c r="H1285" s="490"/>
      <c r="I1285" s="812"/>
      <c r="J1285" s="743"/>
      <c r="K1285" s="490"/>
      <c r="L1285" s="490"/>
    </row>
    <row r="1286" spans="1:12" s="315" customFormat="1" x14ac:dyDescent="0.25">
      <c r="A1286" s="850"/>
      <c r="B1286" s="499"/>
      <c r="C1286" s="490"/>
      <c r="D1286" s="490"/>
      <c r="E1286" s="323"/>
      <c r="F1286" s="323"/>
      <c r="G1286" s="812"/>
      <c r="H1286" s="490"/>
      <c r="I1286" s="812"/>
      <c r="J1286" s="743"/>
      <c r="K1286" s="490"/>
      <c r="L1286" s="490"/>
    </row>
    <row r="1287" spans="1:12" s="315" customFormat="1" x14ac:dyDescent="0.25">
      <c r="A1287" s="850"/>
      <c r="B1287" s="499"/>
      <c r="C1287" s="490"/>
      <c r="D1287" s="490"/>
      <c r="E1287" s="323"/>
      <c r="F1287" s="323"/>
      <c r="G1287" s="812"/>
      <c r="H1287" s="490"/>
      <c r="I1287" s="812"/>
      <c r="J1287" s="743"/>
      <c r="K1287" s="490"/>
      <c r="L1287" s="490"/>
    </row>
    <row r="1288" spans="1:12" s="315" customFormat="1" x14ac:dyDescent="0.25">
      <c r="A1288" s="850"/>
      <c r="B1288" s="499"/>
      <c r="C1288" s="490"/>
      <c r="D1288" s="490"/>
      <c r="E1288" s="323"/>
      <c r="F1288" s="323"/>
      <c r="G1288" s="812"/>
      <c r="H1288" s="490"/>
      <c r="I1288" s="812"/>
      <c r="J1288" s="743"/>
      <c r="K1288" s="490"/>
      <c r="L1288" s="490"/>
    </row>
    <row r="1289" spans="1:12" s="315" customFormat="1" x14ac:dyDescent="0.25">
      <c r="A1289" s="850"/>
      <c r="B1289" s="499"/>
      <c r="C1289" s="490"/>
      <c r="D1289" s="490"/>
      <c r="E1289" s="323"/>
      <c r="F1289" s="323"/>
      <c r="G1289" s="812"/>
      <c r="H1289" s="490"/>
      <c r="I1289" s="812"/>
      <c r="J1289" s="743"/>
      <c r="K1289" s="490"/>
      <c r="L1289" s="490"/>
    </row>
    <row r="1290" spans="1:12" s="315" customFormat="1" x14ac:dyDescent="0.25">
      <c r="A1290" s="850"/>
      <c r="B1290" s="499"/>
      <c r="C1290" s="490"/>
      <c r="D1290" s="490"/>
      <c r="E1290" s="323"/>
      <c r="F1290" s="323"/>
      <c r="G1290" s="812"/>
      <c r="H1290" s="490"/>
      <c r="I1290" s="812"/>
      <c r="J1290" s="743"/>
      <c r="K1290" s="490"/>
      <c r="L1290" s="490"/>
    </row>
    <row r="1291" spans="1:12" s="315" customFormat="1" x14ac:dyDescent="0.25">
      <c r="A1291" s="850"/>
      <c r="B1291" s="499"/>
      <c r="C1291" s="490"/>
      <c r="D1291" s="490"/>
      <c r="E1291" s="323"/>
      <c r="F1291" s="323"/>
      <c r="G1291" s="812"/>
      <c r="H1291" s="490"/>
      <c r="I1291" s="812"/>
      <c r="J1291" s="743"/>
      <c r="K1291" s="490"/>
      <c r="L1291" s="490"/>
    </row>
    <row r="1292" spans="1:12" s="315" customFormat="1" x14ac:dyDescent="0.25">
      <c r="A1292" s="850"/>
      <c r="B1292" s="499"/>
      <c r="C1292" s="490"/>
      <c r="D1292" s="490"/>
      <c r="E1292" s="323"/>
      <c r="F1292" s="323"/>
      <c r="G1292" s="812"/>
      <c r="H1292" s="490"/>
      <c r="I1292" s="812"/>
      <c r="J1292" s="743"/>
      <c r="K1292" s="490"/>
      <c r="L1292" s="490"/>
    </row>
    <row r="1293" spans="1:12" s="315" customFormat="1" x14ac:dyDescent="0.25">
      <c r="A1293" s="850"/>
      <c r="B1293" s="499"/>
      <c r="C1293" s="490"/>
      <c r="D1293" s="490"/>
      <c r="E1293" s="323"/>
      <c r="F1293" s="323"/>
      <c r="G1293" s="812"/>
      <c r="H1293" s="490"/>
      <c r="I1293" s="812"/>
      <c r="J1293" s="743"/>
      <c r="K1293" s="490"/>
      <c r="L1293" s="490"/>
    </row>
    <row r="1294" spans="1:12" s="315" customFormat="1" x14ac:dyDescent="0.25">
      <c r="A1294" s="850"/>
      <c r="B1294" s="499"/>
      <c r="C1294" s="490"/>
      <c r="D1294" s="490"/>
      <c r="E1294" s="323"/>
      <c r="F1294" s="323"/>
      <c r="G1294" s="812"/>
      <c r="H1294" s="490"/>
      <c r="I1294" s="812"/>
      <c r="J1294" s="743"/>
      <c r="K1294" s="490"/>
      <c r="L1294" s="490"/>
    </row>
    <row r="1295" spans="1:12" s="315" customFormat="1" x14ac:dyDescent="0.25">
      <c r="A1295" s="850"/>
      <c r="B1295" s="499"/>
      <c r="C1295" s="490"/>
      <c r="D1295" s="490"/>
      <c r="E1295" s="323"/>
      <c r="F1295" s="323"/>
      <c r="G1295" s="812"/>
      <c r="H1295" s="490"/>
      <c r="I1295" s="812"/>
      <c r="J1295" s="743"/>
      <c r="K1295" s="490"/>
      <c r="L1295" s="490"/>
    </row>
    <row r="1296" spans="1:12" s="315" customFormat="1" x14ac:dyDescent="0.25">
      <c r="A1296" s="850"/>
      <c r="B1296" s="499"/>
      <c r="C1296" s="490"/>
      <c r="D1296" s="490"/>
      <c r="E1296" s="323"/>
      <c r="F1296" s="323"/>
      <c r="G1296" s="812"/>
      <c r="H1296" s="490"/>
      <c r="I1296" s="812"/>
      <c r="J1296" s="743"/>
      <c r="K1296" s="490"/>
      <c r="L1296" s="490"/>
    </row>
    <row r="1297" spans="1:12" s="315" customFormat="1" x14ac:dyDescent="0.25">
      <c r="A1297" s="850"/>
      <c r="B1297" s="499"/>
      <c r="C1297" s="490"/>
      <c r="D1297" s="490"/>
      <c r="E1297" s="323"/>
      <c r="F1297" s="323"/>
      <c r="G1297" s="812"/>
      <c r="H1297" s="490"/>
      <c r="I1297" s="812"/>
      <c r="J1297" s="743"/>
      <c r="K1297" s="490"/>
      <c r="L1297" s="490"/>
    </row>
    <row r="1298" spans="1:12" s="315" customFormat="1" x14ac:dyDescent="0.25">
      <c r="A1298" s="850"/>
      <c r="B1298" s="499"/>
      <c r="C1298" s="490"/>
      <c r="D1298" s="490"/>
      <c r="E1298" s="323"/>
      <c r="F1298" s="323"/>
      <c r="G1298" s="812"/>
      <c r="H1298" s="490"/>
      <c r="I1298" s="812"/>
      <c r="J1298" s="743"/>
      <c r="K1298" s="490"/>
      <c r="L1298" s="490"/>
    </row>
    <row r="1299" spans="1:12" s="315" customFormat="1" x14ac:dyDescent="0.25">
      <c r="A1299" s="850"/>
      <c r="B1299" s="499"/>
      <c r="C1299" s="490"/>
      <c r="D1299" s="490"/>
      <c r="E1299" s="323"/>
      <c r="F1299" s="323"/>
      <c r="G1299" s="812"/>
      <c r="H1299" s="490"/>
      <c r="I1299" s="812"/>
      <c r="J1299" s="743"/>
      <c r="K1299" s="490"/>
      <c r="L1299" s="490"/>
    </row>
    <row r="1300" spans="1:12" s="315" customFormat="1" x14ac:dyDescent="0.25">
      <c r="A1300" s="850"/>
      <c r="B1300" s="499"/>
      <c r="C1300" s="490"/>
      <c r="D1300" s="490"/>
      <c r="E1300" s="323"/>
      <c r="F1300" s="323"/>
      <c r="G1300" s="812"/>
      <c r="H1300" s="490"/>
      <c r="I1300" s="812"/>
      <c r="J1300" s="743"/>
      <c r="K1300" s="490"/>
      <c r="L1300" s="490"/>
    </row>
    <row r="1301" spans="1:12" s="315" customFormat="1" x14ac:dyDescent="0.25">
      <c r="A1301" s="850"/>
      <c r="B1301" s="499"/>
      <c r="C1301" s="490"/>
      <c r="D1301" s="490"/>
      <c r="E1301" s="323"/>
      <c r="F1301" s="323"/>
      <c r="G1301" s="812"/>
      <c r="H1301" s="490"/>
      <c r="I1301" s="812"/>
      <c r="J1301" s="743"/>
      <c r="K1301" s="490"/>
      <c r="L1301" s="490"/>
    </row>
    <row r="1302" spans="1:12" s="315" customFormat="1" x14ac:dyDescent="0.25">
      <c r="A1302" s="850"/>
      <c r="B1302" s="499"/>
      <c r="C1302" s="490"/>
      <c r="D1302" s="490"/>
      <c r="E1302" s="323"/>
      <c r="F1302" s="323"/>
      <c r="G1302" s="812"/>
      <c r="H1302" s="490"/>
      <c r="I1302" s="812"/>
      <c r="J1302" s="743"/>
      <c r="K1302" s="490"/>
      <c r="L1302" s="490"/>
    </row>
    <row r="1303" spans="1:12" s="315" customFormat="1" x14ac:dyDescent="0.25">
      <c r="A1303" s="850"/>
      <c r="B1303" s="499"/>
      <c r="C1303" s="490"/>
      <c r="D1303" s="490"/>
      <c r="E1303" s="323"/>
      <c r="F1303" s="323"/>
      <c r="G1303" s="812"/>
      <c r="H1303" s="490"/>
      <c r="I1303" s="812"/>
      <c r="J1303" s="743"/>
      <c r="K1303" s="490"/>
      <c r="L1303" s="490"/>
    </row>
    <row r="1304" spans="1:12" s="315" customFormat="1" x14ac:dyDescent="0.25">
      <c r="A1304" s="850"/>
      <c r="B1304" s="499"/>
      <c r="C1304" s="490"/>
      <c r="D1304" s="490"/>
      <c r="E1304" s="323"/>
      <c r="F1304" s="323"/>
      <c r="G1304" s="812"/>
      <c r="H1304" s="490"/>
      <c r="I1304" s="812"/>
      <c r="J1304" s="743"/>
      <c r="K1304" s="490"/>
      <c r="L1304" s="490"/>
    </row>
    <row r="1305" spans="1:12" s="315" customFormat="1" x14ac:dyDescent="0.25">
      <c r="A1305" s="850"/>
      <c r="B1305" s="499"/>
      <c r="C1305" s="490"/>
      <c r="D1305" s="490"/>
      <c r="E1305" s="323"/>
      <c r="F1305" s="323"/>
      <c r="G1305" s="812"/>
      <c r="H1305" s="490"/>
      <c r="I1305" s="812"/>
      <c r="J1305" s="743"/>
      <c r="K1305" s="490"/>
      <c r="L1305" s="490"/>
    </row>
    <row r="1306" spans="1:12" s="315" customFormat="1" x14ac:dyDescent="0.25">
      <c r="A1306" s="850"/>
      <c r="B1306" s="499"/>
      <c r="C1306" s="490"/>
      <c r="D1306" s="490"/>
      <c r="E1306" s="323"/>
      <c r="F1306" s="323"/>
      <c r="G1306" s="812"/>
      <c r="H1306" s="490"/>
      <c r="I1306" s="812"/>
      <c r="J1306" s="743"/>
      <c r="K1306" s="490"/>
      <c r="L1306" s="490"/>
    </row>
    <row r="1307" spans="1:12" s="315" customFormat="1" x14ac:dyDescent="0.25">
      <c r="A1307" s="850"/>
      <c r="B1307" s="499"/>
      <c r="C1307" s="490"/>
      <c r="D1307" s="490"/>
      <c r="E1307" s="323"/>
      <c r="F1307" s="323"/>
      <c r="G1307" s="812"/>
      <c r="H1307" s="490"/>
      <c r="I1307" s="812"/>
      <c r="J1307" s="743"/>
      <c r="K1307" s="490"/>
      <c r="L1307" s="490"/>
    </row>
    <row r="1308" spans="1:12" s="315" customFormat="1" x14ac:dyDescent="0.25">
      <c r="A1308" s="850"/>
      <c r="B1308" s="499"/>
      <c r="C1308" s="490"/>
      <c r="D1308" s="490"/>
      <c r="E1308" s="323"/>
      <c r="F1308" s="323"/>
      <c r="G1308" s="812"/>
      <c r="H1308" s="490"/>
      <c r="I1308" s="812"/>
      <c r="J1308" s="743"/>
      <c r="K1308" s="490"/>
      <c r="L1308" s="490"/>
    </row>
    <row r="1309" spans="1:12" s="315" customFormat="1" x14ac:dyDescent="0.25">
      <c r="A1309" s="850"/>
      <c r="B1309" s="499"/>
      <c r="C1309" s="490"/>
      <c r="D1309" s="490"/>
      <c r="E1309" s="323"/>
      <c r="F1309" s="323"/>
      <c r="G1309" s="812"/>
      <c r="H1309" s="490"/>
      <c r="I1309" s="812"/>
      <c r="J1309" s="743"/>
      <c r="K1309" s="490"/>
      <c r="L1309" s="490"/>
    </row>
    <row r="1310" spans="1:12" s="315" customFormat="1" x14ac:dyDescent="0.25">
      <c r="A1310" s="850"/>
      <c r="B1310" s="499"/>
      <c r="C1310" s="490"/>
      <c r="D1310" s="490"/>
      <c r="E1310" s="323"/>
      <c r="F1310" s="323"/>
      <c r="G1310" s="812"/>
      <c r="H1310" s="490"/>
      <c r="I1310" s="812"/>
      <c r="J1310" s="743"/>
      <c r="K1310" s="490"/>
      <c r="L1310" s="490"/>
    </row>
    <row r="1311" spans="1:12" s="315" customFormat="1" x14ac:dyDescent="0.25">
      <c r="A1311" s="850"/>
      <c r="B1311" s="499"/>
      <c r="C1311" s="490"/>
      <c r="D1311" s="490"/>
      <c r="E1311" s="323"/>
      <c r="F1311" s="323"/>
      <c r="G1311" s="812"/>
      <c r="H1311" s="490"/>
      <c r="I1311" s="812"/>
      <c r="J1311" s="743"/>
      <c r="K1311" s="490"/>
      <c r="L1311" s="490"/>
    </row>
    <row r="1312" spans="1:12" s="315" customFormat="1" x14ac:dyDescent="0.25">
      <c r="A1312" s="850"/>
      <c r="B1312" s="499"/>
      <c r="C1312" s="490"/>
      <c r="D1312" s="490"/>
      <c r="E1312" s="323"/>
      <c r="F1312" s="323"/>
      <c r="G1312" s="812"/>
      <c r="H1312" s="490"/>
      <c r="I1312" s="812"/>
      <c r="J1312" s="743"/>
      <c r="K1312" s="490"/>
      <c r="L1312" s="490"/>
    </row>
    <row r="1313" spans="1:12" s="315" customFormat="1" x14ac:dyDescent="0.25">
      <c r="A1313" s="850"/>
      <c r="B1313" s="499"/>
      <c r="C1313" s="490"/>
      <c r="D1313" s="490"/>
      <c r="E1313" s="323"/>
      <c r="F1313" s="323"/>
      <c r="G1313" s="812"/>
      <c r="H1313" s="490"/>
      <c r="I1313" s="812"/>
      <c r="J1313" s="743"/>
      <c r="K1313" s="490"/>
      <c r="L1313" s="490"/>
    </row>
    <row r="1314" spans="1:12" s="315" customFormat="1" x14ac:dyDescent="0.25">
      <c r="A1314" s="850"/>
      <c r="B1314" s="499"/>
      <c r="C1314" s="490"/>
      <c r="D1314" s="490"/>
      <c r="E1314" s="323"/>
      <c r="F1314" s="323"/>
      <c r="G1314" s="812"/>
      <c r="H1314" s="490"/>
      <c r="I1314" s="812"/>
      <c r="J1314" s="743"/>
      <c r="K1314" s="490"/>
      <c r="L1314" s="490"/>
    </row>
    <row r="1315" spans="1:12" s="315" customFormat="1" x14ac:dyDescent="0.25">
      <c r="A1315" s="850"/>
      <c r="B1315" s="499"/>
      <c r="C1315" s="490"/>
      <c r="D1315" s="490"/>
      <c r="E1315" s="323"/>
      <c r="F1315" s="323"/>
      <c r="G1315" s="812"/>
      <c r="H1315" s="490"/>
      <c r="I1315" s="812"/>
      <c r="J1315" s="743"/>
      <c r="K1315" s="490"/>
      <c r="L1315" s="490"/>
    </row>
    <row r="1316" spans="1:12" s="315" customFormat="1" x14ac:dyDescent="0.25">
      <c r="A1316" s="850"/>
      <c r="B1316" s="499"/>
      <c r="C1316" s="490"/>
      <c r="D1316" s="490"/>
      <c r="E1316" s="323"/>
      <c r="F1316" s="323"/>
      <c r="G1316" s="812"/>
      <c r="H1316" s="490"/>
      <c r="I1316" s="812"/>
      <c r="J1316" s="743"/>
      <c r="K1316" s="490"/>
      <c r="L1316" s="490"/>
    </row>
    <row r="1317" spans="1:12" s="315" customFormat="1" x14ac:dyDescent="0.25">
      <c r="A1317" s="850"/>
      <c r="B1317" s="499"/>
      <c r="C1317" s="490"/>
      <c r="D1317" s="490"/>
      <c r="E1317" s="323"/>
      <c r="F1317" s="323"/>
      <c r="G1317" s="812"/>
      <c r="H1317" s="490"/>
      <c r="I1317" s="812"/>
      <c r="J1317" s="743"/>
      <c r="K1317" s="490"/>
      <c r="L1317" s="490"/>
    </row>
    <row r="1318" spans="1:12" s="315" customFormat="1" x14ac:dyDescent="0.25">
      <c r="A1318" s="850"/>
      <c r="B1318" s="499"/>
      <c r="C1318" s="490"/>
      <c r="D1318" s="490"/>
      <c r="E1318" s="323"/>
      <c r="F1318" s="323"/>
      <c r="G1318" s="812"/>
      <c r="H1318" s="490"/>
      <c r="I1318" s="812"/>
      <c r="J1318" s="743"/>
      <c r="K1318" s="490"/>
      <c r="L1318" s="490"/>
    </row>
    <row r="1319" spans="1:12" s="315" customFormat="1" x14ac:dyDescent="0.25">
      <c r="A1319" s="850"/>
      <c r="B1319" s="499"/>
      <c r="C1319" s="490"/>
      <c r="D1319" s="490"/>
      <c r="E1319" s="323"/>
      <c r="F1319" s="323"/>
      <c r="G1319" s="812"/>
      <c r="H1319" s="490"/>
      <c r="I1319" s="812"/>
      <c r="J1319" s="743"/>
      <c r="K1319" s="490"/>
      <c r="L1319" s="490"/>
    </row>
    <row r="1320" spans="1:12" s="315" customFormat="1" x14ac:dyDescent="0.25">
      <c r="A1320" s="850"/>
      <c r="B1320" s="499"/>
      <c r="C1320" s="490"/>
      <c r="D1320" s="490"/>
      <c r="E1320" s="323"/>
      <c r="F1320" s="323"/>
      <c r="G1320" s="812"/>
      <c r="H1320" s="490"/>
      <c r="I1320" s="812"/>
      <c r="J1320" s="743"/>
      <c r="K1320" s="490"/>
      <c r="L1320" s="490"/>
    </row>
  </sheetData>
  <mergeCells count="1017">
    <mergeCell ref="G552:G554"/>
    <mergeCell ref="G555:G557"/>
    <mergeCell ref="G558:G560"/>
    <mergeCell ref="H558:H560"/>
    <mergeCell ref="I558:I560"/>
    <mergeCell ref="J558:J560"/>
    <mergeCell ref="K558:K560"/>
    <mergeCell ref="B443:B445"/>
    <mergeCell ref="C443:C445"/>
    <mergeCell ref="G443:G445"/>
    <mergeCell ref="H443:H445"/>
    <mergeCell ref="I443:I445"/>
    <mergeCell ref="J443:J445"/>
    <mergeCell ref="K443:K445"/>
    <mergeCell ref="K471:K473"/>
    <mergeCell ref="B462:B464"/>
    <mergeCell ref="C462:C464"/>
    <mergeCell ref="G462:G464"/>
    <mergeCell ref="H462:H464"/>
    <mergeCell ref="I462:I464"/>
    <mergeCell ref="J462:J464"/>
    <mergeCell ref="K462:K464"/>
    <mergeCell ref="B465:B467"/>
    <mergeCell ref="C465:C467"/>
    <mergeCell ref="G465:G467"/>
    <mergeCell ref="H465:H467"/>
    <mergeCell ref="I465:I467"/>
    <mergeCell ref="J465:J467"/>
    <mergeCell ref="K465:K467"/>
    <mergeCell ref="J485:J488"/>
    <mergeCell ref="K485:K488"/>
    <mergeCell ref="B485:B488"/>
    <mergeCell ref="B552:B554"/>
    <mergeCell ref="B558:B560"/>
    <mergeCell ref="B555:B557"/>
    <mergeCell ref="A552:A560"/>
    <mergeCell ref="C552:C554"/>
    <mergeCell ref="C555:C557"/>
    <mergeCell ref="C558:C560"/>
    <mergeCell ref="B31:B33"/>
    <mergeCell ref="B34:B36"/>
    <mergeCell ref="B37:B39"/>
    <mergeCell ref="C46:C48"/>
    <mergeCell ref="C31:C33"/>
    <mergeCell ref="B399:B405"/>
    <mergeCell ref="B318:B320"/>
    <mergeCell ref="B241:B243"/>
    <mergeCell ref="C181:C183"/>
    <mergeCell ref="C161:C170"/>
    <mergeCell ref="B106:B108"/>
    <mergeCell ref="B49:B51"/>
    <mergeCell ref="B127:B150"/>
    <mergeCell ref="B161:B170"/>
    <mergeCell ref="B115:B117"/>
    <mergeCell ref="I46:I48"/>
    <mergeCell ref="J46:J48"/>
    <mergeCell ref="K46:K48"/>
    <mergeCell ref="C37:C39"/>
    <mergeCell ref="G37:G39"/>
    <mergeCell ref="C40:C42"/>
    <mergeCell ref="G40:G42"/>
    <mergeCell ref="H40:H42"/>
    <mergeCell ref="I40:I42"/>
    <mergeCell ref="J40:J42"/>
    <mergeCell ref="K40:K42"/>
    <mergeCell ref="H38:H39"/>
    <mergeCell ref="I38:I39"/>
    <mergeCell ref="J38:J39"/>
    <mergeCell ref="K38:K39"/>
    <mergeCell ref="B40:B42"/>
    <mergeCell ref="B43:B45"/>
    <mergeCell ref="C43:C45"/>
    <mergeCell ref="G43:G45"/>
    <mergeCell ref="H43:H45"/>
    <mergeCell ref="I43:I45"/>
    <mergeCell ref="J43:J45"/>
    <mergeCell ref="K43:K45"/>
    <mergeCell ref="B46:B48"/>
    <mergeCell ref="G377:G379"/>
    <mergeCell ref="G380:G383"/>
    <mergeCell ref="L382:L383"/>
    <mergeCell ref="H229:H230"/>
    <mergeCell ref="I229:I230"/>
    <mergeCell ref="J229:J230"/>
    <mergeCell ref="K229:K230"/>
    <mergeCell ref="G390:G392"/>
    <mergeCell ref="G393:G395"/>
    <mergeCell ref="J265:J271"/>
    <mergeCell ref="H272:H278"/>
    <mergeCell ref="I272:I278"/>
    <mergeCell ref="G301:G303"/>
    <mergeCell ref="G304:G306"/>
    <mergeCell ref="G307:G309"/>
    <mergeCell ref="G251:G253"/>
    <mergeCell ref="G247:G250"/>
    <mergeCell ref="G241:G243"/>
    <mergeCell ref="H279:H283"/>
    <mergeCell ref="H284:H287"/>
    <mergeCell ref="H288:H290"/>
    <mergeCell ref="H242:H243"/>
    <mergeCell ref="I242:I243"/>
    <mergeCell ref="J242:J243"/>
    <mergeCell ref="G360:G362"/>
    <mergeCell ref="G354:G356"/>
    <mergeCell ref="L177:L180"/>
    <mergeCell ref="B171:B173"/>
    <mergeCell ref="C171:C173"/>
    <mergeCell ref="G171:G173"/>
    <mergeCell ref="H171:H173"/>
    <mergeCell ref="I171:I173"/>
    <mergeCell ref="J171:J173"/>
    <mergeCell ref="K171:K173"/>
    <mergeCell ref="G223:G225"/>
    <mergeCell ref="H208:H210"/>
    <mergeCell ref="I208:I210"/>
    <mergeCell ref="J208:J210"/>
    <mergeCell ref="K208:K210"/>
    <mergeCell ref="B223:B225"/>
    <mergeCell ref="C223:C225"/>
    <mergeCell ref="H223:H225"/>
    <mergeCell ref="I223:I225"/>
    <mergeCell ref="J223:J225"/>
    <mergeCell ref="K223:K225"/>
    <mergeCell ref="G214:G216"/>
    <mergeCell ref="J211:J213"/>
    <mergeCell ref="K211:K213"/>
    <mergeCell ref="D177:D180"/>
    <mergeCell ref="E177:E180"/>
    <mergeCell ref="G202:G207"/>
    <mergeCell ref="B202:B207"/>
    <mergeCell ref="C202:C207"/>
    <mergeCell ref="H181:H183"/>
    <mergeCell ref="D205:D207"/>
    <mergeCell ref="E205:E207"/>
    <mergeCell ref="F205:F207"/>
    <mergeCell ref="H145:H150"/>
    <mergeCell ref="I145:I150"/>
    <mergeCell ref="J145:J150"/>
    <mergeCell ref="K145:K150"/>
    <mergeCell ref="A561:A569"/>
    <mergeCell ref="B561:B563"/>
    <mergeCell ref="C561:C563"/>
    <mergeCell ref="G561:G563"/>
    <mergeCell ref="H561:H563"/>
    <mergeCell ref="I561:I563"/>
    <mergeCell ref="J561:J563"/>
    <mergeCell ref="K561:K563"/>
    <mergeCell ref="B564:B566"/>
    <mergeCell ref="C564:C566"/>
    <mergeCell ref="G564:G566"/>
    <mergeCell ref="H564:H566"/>
    <mergeCell ref="I564:I566"/>
    <mergeCell ref="J564:J566"/>
    <mergeCell ref="K564:K566"/>
    <mergeCell ref="B567:B569"/>
    <mergeCell ref="C567:C569"/>
    <mergeCell ref="G567:G569"/>
    <mergeCell ref="H567:H569"/>
    <mergeCell ref="I567:I569"/>
    <mergeCell ref="J567:J569"/>
    <mergeCell ref="K567:K569"/>
    <mergeCell ref="G396:G398"/>
    <mergeCell ref="G367:G369"/>
    <mergeCell ref="G321:G323"/>
    <mergeCell ref="G384:G386"/>
    <mergeCell ref="G387:G389"/>
    <mergeCell ref="G370:G372"/>
    <mergeCell ref="L130:L150"/>
    <mergeCell ref="L154:L157"/>
    <mergeCell ref="H127:H137"/>
    <mergeCell ref="I127:I137"/>
    <mergeCell ref="J127:J137"/>
    <mergeCell ref="K118:K120"/>
    <mergeCell ref="H159:H160"/>
    <mergeCell ref="J221:J222"/>
    <mergeCell ref="H211:H213"/>
    <mergeCell ref="I211:I213"/>
    <mergeCell ref="H232:H234"/>
    <mergeCell ref="I232:I234"/>
    <mergeCell ref="J232:J234"/>
    <mergeCell ref="K232:K234"/>
    <mergeCell ref="H184:H186"/>
    <mergeCell ref="I184:I186"/>
    <mergeCell ref="J184:J186"/>
    <mergeCell ref="K184:K186"/>
    <mergeCell ref="K187:K194"/>
    <mergeCell ref="I195:I201"/>
    <mergeCell ref="J195:J201"/>
    <mergeCell ref="K195:K201"/>
    <mergeCell ref="I221:I222"/>
    <mergeCell ref="K214:K216"/>
    <mergeCell ref="H195:H201"/>
    <mergeCell ref="I187:I194"/>
    <mergeCell ref="J187:J194"/>
    <mergeCell ref="L164:L170"/>
    <mergeCell ref="H138:H144"/>
    <mergeCell ref="I138:I144"/>
    <mergeCell ref="J138:J144"/>
    <mergeCell ref="K138:K144"/>
    <mergeCell ref="L82:L102"/>
    <mergeCell ref="L58:L78"/>
    <mergeCell ref="H103:H105"/>
    <mergeCell ref="I103:I105"/>
    <mergeCell ref="J103:J105"/>
    <mergeCell ref="K103:K105"/>
    <mergeCell ref="I73:I78"/>
    <mergeCell ref="J73:J78"/>
    <mergeCell ref="K73:K78"/>
    <mergeCell ref="H73:H78"/>
    <mergeCell ref="H55:H65"/>
    <mergeCell ref="I55:I65"/>
    <mergeCell ref="J55:J65"/>
    <mergeCell ref="K55:K65"/>
    <mergeCell ref="J66:J72"/>
    <mergeCell ref="K66:K72"/>
    <mergeCell ref="H52:H54"/>
    <mergeCell ref="I52:I54"/>
    <mergeCell ref="H124:H126"/>
    <mergeCell ref="I124:I126"/>
    <mergeCell ref="G52:G54"/>
    <mergeCell ref="G79:G102"/>
    <mergeCell ref="G55:G78"/>
    <mergeCell ref="I118:I120"/>
    <mergeCell ref="H66:H72"/>
    <mergeCell ref="I66:I72"/>
    <mergeCell ref="I106:I108"/>
    <mergeCell ref="G103:G105"/>
    <mergeCell ref="G106:G108"/>
    <mergeCell ref="G109:G111"/>
    <mergeCell ref="J52:J54"/>
    <mergeCell ref="K52:K54"/>
    <mergeCell ref="J49:J51"/>
    <mergeCell ref="K49:K51"/>
    <mergeCell ref="H49:H51"/>
    <mergeCell ref="I49:I51"/>
    <mergeCell ref="J118:J120"/>
    <mergeCell ref="H121:H123"/>
    <mergeCell ref="H109:H111"/>
    <mergeCell ref="G357:G359"/>
    <mergeCell ref="G208:G210"/>
    <mergeCell ref="G127:G150"/>
    <mergeCell ref="G174:G180"/>
    <mergeCell ref="G232:G234"/>
    <mergeCell ref="G121:G123"/>
    <mergeCell ref="G151:G157"/>
    <mergeCell ref="G161:G170"/>
    <mergeCell ref="G235:G237"/>
    <mergeCell ref="G238:G240"/>
    <mergeCell ref="G211:G213"/>
    <mergeCell ref="G254:G278"/>
    <mergeCell ref="G327:G329"/>
    <mergeCell ref="G229:G231"/>
    <mergeCell ref="G181:G183"/>
    <mergeCell ref="G292:G294"/>
    <mergeCell ref="G295:G297"/>
    <mergeCell ref="G298:G300"/>
    <mergeCell ref="G330:G332"/>
    <mergeCell ref="G124:G126"/>
    <mergeCell ref="G158:G160"/>
    <mergeCell ref="G342:G344"/>
    <mergeCell ref="G345:G347"/>
    <mergeCell ref="G348:G350"/>
    <mergeCell ref="G310:G312"/>
    <mergeCell ref="G318:G320"/>
    <mergeCell ref="G333:G335"/>
    <mergeCell ref="G336:G338"/>
    <mergeCell ref="G339:G341"/>
    <mergeCell ref="G313:G317"/>
    <mergeCell ref="G324:G326"/>
    <mergeCell ref="D316:D317"/>
    <mergeCell ref="E316:E317"/>
    <mergeCell ref="F316:F317"/>
    <mergeCell ref="C211:C213"/>
    <mergeCell ref="C247:C250"/>
    <mergeCell ref="B226:B228"/>
    <mergeCell ref="C226:C228"/>
    <mergeCell ref="B229:B231"/>
    <mergeCell ref="C229:C231"/>
    <mergeCell ref="B232:B234"/>
    <mergeCell ref="C232:C234"/>
    <mergeCell ref="C304:C306"/>
    <mergeCell ref="C307:C309"/>
    <mergeCell ref="C313:C317"/>
    <mergeCell ref="C235:C237"/>
    <mergeCell ref="C254:C278"/>
    <mergeCell ref="C298:C300"/>
    <mergeCell ref="C301:C303"/>
    <mergeCell ref="C310:C312"/>
    <mergeCell ref="C279:C291"/>
    <mergeCell ref="C357:C359"/>
    <mergeCell ref="C354:C356"/>
    <mergeCell ref="C360:C362"/>
    <mergeCell ref="B354:B356"/>
    <mergeCell ref="B409:B411"/>
    <mergeCell ref="C409:C411"/>
    <mergeCell ref="B406:B408"/>
    <mergeCell ref="B174:B180"/>
    <mergeCell ref="C174:C180"/>
    <mergeCell ref="B396:B398"/>
    <mergeCell ref="C396:C398"/>
    <mergeCell ref="C327:C329"/>
    <mergeCell ref="B327:B329"/>
    <mergeCell ref="C214:C216"/>
    <mergeCell ref="A363:A372"/>
    <mergeCell ref="B367:B369"/>
    <mergeCell ref="C367:C369"/>
    <mergeCell ref="A333:A362"/>
    <mergeCell ref="C348:C350"/>
    <mergeCell ref="C339:C341"/>
    <mergeCell ref="B370:B372"/>
    <mergeCell ref="C333:C335"/>
    <mergeCell ref="C336:C338"/>
    <mergeCell ref="C342:C344"/>
    <mergeCell ref="C345:C347"/>
    <mergeCell ref="B360:B362"/>
    <mergeCell ref="B357:B359"/>
    <mergeCell ref="B345:B347"/>
    <mergeCell ref="B348:B350"/>
    <mergeCell ref="B339:B341"/>
    <mergeCell ref="B342:B344"/>
    <mergeCell ref="B333:B335"/>
    <mergeCell ref="A247:A320"/>
    <mergeCell ref="B235:B237"/>
    <mergeCell ref="B304:B306"/>
    <mergeCell ref="B307:B309"/>
    <mergeCell ref="B310:B312"/>
    <mergeCell ref="A396:A411"/>
    <mergeCell ref="C387:C389"/>
    <mergeCell ref="B390:B392"/>
    <mergeCell ref="B393:B395"/>
    <mergeCell ref="B321:B323"/>
    <mergeCell ref="C321:C323"/>
    <mergeCell ref="B238:B240"/>
    <mergeCell ref="C251:C253"/>
    <mergeCell ref="C399:C405"/>
    <mergeCell ref="A384:A395"/>
    <mergeCell ref="B324:B326"/>
    <mergeCell ref="B384:B386"/>
    <mergeCell ref="B387:B389"/>
    <mergeCell ref="C384:C386"/>
    <mergeCell ref="C377:C379"/>
    <mergeCell ref="B377:B379"/>
    <mergeCell ref="C324:C326"/>
    <mergeCell ref="C370:C372"/>
    <mergeCell ref="B121:B123"/>
    <mergeCell ref="B151:B157"/>
    <mergeCell ref="C151:C157"/>
    <mergeCell ref="B158:B160"/>
    <mergeCell ref="C118:C120"/>
    <mergeCell ref="B184:B201"/>
    <mergeCell ref="C184:C201"/>
    <mergeCell ref="B208:B210"/>
    <mergeCell ref="B181:B183"/>
    <mergeCell ref="B211:B213"/>
    <mergeCell ref="B214:B216"/>
    <mergeCell ref="C318:C320"/>
    <mergeCell ref="B295:B297"/>
    <mergeCell ref="B298:B300"/>
    <mergeCell ref="B301:B303"/>
    <mergeCell ref="B292:B294"/>
    <mergeCell ref="B251:B253"/>
    <mergeCell ref="B247:B250"/>
    <mergeCell ref="B279:B291"/>
    <mergeCell ref="B254:B278"/>
    <mergeCell ref="B313:B317"/>
    <mergeCell ref="B118:B120"/>
    <mergeCell ref="C158:C160"/>
    <mergeCell ref="C121:C123"/>
    <mergeCell ref="C124:C126"/>
    <mergeCell ref="C127:C150"/>
    <mergeCell ref="B124:B126"/>
    <mergeCell ref="C292:C294"/>
    <mergeCell ref="C295:C297"/>
    <mergeCell ref="C208:C210"/>
    <mergeCell ref="C238:C240"/>
    <mergeCell ref="C241:C243"/>
    <mergeCell ref="I19:I21"/>
    <mergeCell ref="J19:J21"/>
    <mergeCell ref="K19:K21"/>
    <mergeCell ref="B28:B30"/>
    <mergeCell ref="H28:H30"/>
    <mergeCell ref="I28:I30"/>
    <mergeCell ref="J28:J30"/>
    <mergeCell ref="K28:K30"/>
    <mergeCell ref="H22:H23"/>
    <mergeCell ref="I22:I23"/>
    <mergeCell ref="J22:J23"/>
    <mergeCell ref="K22:K23"/>
    <mergeCell ref="C28:C30"/>
    <mergeCell ref="J25:J27"/>
    <mergeCell ref="K25:K27"/>
    <mergeCell ref="B103:B105"/>
    <mergeCell ref="H25:H27"/>
    <mergeCell ref="I25:I27"/>
    <mergeCell ref="G19:G21"/>
    <mergeCell ref="C49:C51"/>
    <mergeCell ref="C52:C54"/>
    <mergeCell ref="H31:H33"/>
    <mergeCell ref="I31:I33"/>
    <mergeCell ref="J31:J33"/>
    <mergeCell ref="K31:K33"/>
    <mergeCell ref="C34:C36"/>
    <mergeCell ref="G34:G36"/>
    <mergeCell ref="H34:H36"/>
    <mergeCell ref="I34:I36"/>
    <mergeCell ref="J34:J36"/>
    <mergeCell ref="K34:K36"/>
    <mergeCell ref="G46:G48"/>
    <mergeCell ref="A2:L2"/>
    <mergeCell ref="C3:E3"/>
    <mergeCell ref="C4:E4"/>
    <mergeCell ref="A8:A14"/>
    <mergeCell ref="B8:B14"/>
    <mergeCell ref="C8:C12"/>
    <mergeCell ref="C13:C14"/>
    <mergeCell ref="G8:G12"/>
    <mergeCell ref="G13:G14"/>
    <mergeCell ref="H8:H12"/>
    <mergeCell ref="H13:H14"/>
    <mergeCell ref="I8:I12"/>
    <mergeCell ref="I13:I14"/>
    <mergeCell ref="J8:J12"/>
    <mergeCell ref="J13:J14"/>
    <mergeCell ref="K8:K12"/>
    <mergeCell ref="K13:K14"/>
    <mergeCell ref="A49:A120"/>
    <mergeCell ref="B109:B111"/>
    <mergeCell ref="B112:B114"/>
    <mergeCell ref="C106:C108"/>
    <mergeCell ref="C109:C111"/>
    <mergeCell ref="C112:C114"/>
    <mergeCell ref="C55:C78"/>
    <mergeCell ref="C79:C102"/>
    <mergeCell ref="B79:B102"/>
    <mergeCell ref="B52:B54"/>
    <mergeCell ref="B55:B78"/>
    <mergeCell ref="C115:C117"/>
    <mergeCell ref="C103:C105"/>
    <mergeCell ref="G112:G114"/>
    <mergeCell ref="G22:G24"/>
    <mergeCell ref="G25:G27"/>
    <mergeCell ref="H19:H21"/>
    <mergeCell ref="E82:E102"/>
    <mergeCell ref="F82:F102"/>
    <mergeCell ref="D58:D78"/>
    <mergeCell ref="E58:E78"/>
    <mergeCell ref="G115:G117"/>
    <mergeCell ref="G118:G120"/>
    <mergeCell ref="G31:G33"/>
    <mergeCell ref="H106:H108"/>
    <mergeCell ref="H118:H120"/>
    <mergeCell ref="H46:H48"/>
    <mergeCell ref="A16:A48"/>
    <mergeCell ref="A15:L15"/>
    <mergeCell ref="B16:B18"/>
    <mergeCell ref="C16:C18"/>
    <mergeCell ref="B19:B21"/>
    <mergeCell ref="C19:C21"/>
    <mergeCell ref="G16:G18"/>
    <mergeCell ref="K16:K18"/>
    <mergeCell ref="B22:B24"/>
    <mergeCell ref="C22:C24"/>
    <mergeCell ref="B25:B27"/>
    <mergeCell ref="C25:C27"/>
    <mergeCell ref="H16:H18"/>
    <mergeCell ref="I16:I18"/>
    <mergeCell ref="J16:J18"/>
    <mergeCell ref="D187:D201"/>
    <mergeCell ref="E187:E201"/>
    <mergeCell ref="F187:F201"/>
    <mergeCell ref="G184:G201"/>
    <mergeCell ref="G28:G30"/>
    <mergeCell ref="F177:F180"/>
    <mergeCell ref="D130:D150"/>
    <mergeCell ref="E130:E150"/>
    <mergeCell ref="F154:F157"/>
    <mergeCell ref="D164:D170"/>
    <mergeCell ref="E164:E170"/>
    <mergeCell ref="F164:F170"/>
    <mergeCell ref="F130:F150"/>
    <mergeCell ref="D154:D157"/>
    <mergeCell ref="E154:E157"/>
    <mergeCell ref="F58:F78"/>
    <mergeCell ref="D82:D102"/>
    <mergeCell ref="G49:G51"/>
    <mergeCell ref="K373:K376"/>
    <mergeCell ref="K345:K347"/>
    <mergeCell ref="I265:I271"/>
    <mergeCell ref="H370:H372"/>
    <mergeCell ref="I370:I372"/>
    <mergeCell ref="J370:J372"/>
    <mergeCell ref="K370:K372"/>
    <mergeCell ref="H324:H326"/>
    <mergeCell ref="I324:I326"/>
    <mergeCell ref="J324:J326"/>
    <mergeCell ref="K324:K326"/>
    <mergeCell ref="H321:H323"/>
    <mergeCell ref="I321:I323"/>
    <mergeCell ref="J321:J323"/>
    <mergeCell ref="K321:K323"/>
    <mergeCell ref="K367:K369"/>
    <mergeCell ref="H367:H369"/>
    <mergeCell ref="I367:I369"/>
    <mergeCell ref="J367:J369"/>
    <mergeCell ref="I351:I353"/>
    <mergeCell ref="J351:J353"/>
    <mergeCell ref="K351:K353"/>
    <mergeCell ref="K331:K332"/>
    <mergeCell ref="K363:K366"/>
    <mergeCell ref="I410:I411"/>
    <mergeCell ref="J410:J411"/>
    <mergeCell ref="K410:K411"/>
    <mergeCell ref="G406:G408"/>
    <mergeCell ref="H390:H392"/>
    <mergeCell ref="H393:H395"/>
    <mergeCell ref="I393:I395"/>
    <mergeCell ref="J393:J395"/>
    <mergeCell ref="K393:K395"/>
    <mergeCell ref="I390:I392"/>
    <mergeCell ref="J390:J392"/>
    <mergeCell ref="K390:K392"/>
    <mergeCell ref="C390:C392"/>
    <mergeCell ref="C393:C395"/>
    <mergeCell ref="H384:H386"/>
    <mergeCell ref="I384:I386"/>
    <mergeCell ref="J384:J386"/>
    <mergeCell ref="K384:K386"/>
    <mergeCell ref="I387:I389"/>
    <mergeCell ref="H387:H389"/>
    <mergeCell ref="J387:J389"/>
    <mergeCell ref="K387:K389"/>
    <mergeCell ref="A425:A451"/>
    <mergeCell ref="C449:C451"/>
    <mergeCell ref="G449:G451"/>
    <mergeCell ref="H449:H451"/>
    <mergeCell ref="I449:I451"/>
    <mergeCell ref="J449:J451"/>
    <mergeCell ref="K449:K451"/>
    <mergeCell ref="B437:B439"/>
    <mergeCell ref="C437:C439"/>
    <mergeCell ref="G437:G439"/>
    <mergeCell ref="H437:H439"/>
    <mergeCell ref="I437:I439"/>
    <mergeCell ref="J437:J439"/>
    <mergeCell ref="K437:K439"/>
    <mergeCell ref="B440:B442"/>
    <mergeCell ref="C440:C442"/>
    <mergeCell ref="G440:G442"/>
    <mergeCell ref="H440:H442"/>
    <mergeCell ref="I440:I442"/>
    <mergeCell ref="J440:J442"/>
    <mergeCell ref="K440:K442"/>
    <mergeCell ref="H431:H433"/>
    <mergeCell ref="I431:I433"/>
    <mergeCell ref="J434:J436"/>
    <mergeCell ref="B449:B451"/>
    <mergeCell ref="K434:K436"/>
    <mergeCell ref="I446:I448"/>
    <mergeCell ref="J446:J448"/>
    <mergeCell ref="K446:K448"/>
    <mergeCell ref="C446:C448"/>
    <mergeCell ref="B434:B436"/>
    <mergeCell ref="B446:B448"/>
    <mergeCell ref="A452:A460"/>
    <mergeCell ref="G455:G457"/>
    <mergeCell ref="H455:H457"/>
    <mergeCell ref="I455:I457"/>
    <mergeCell ref="J455:J457"/>
    <mergeCell ref="K455:K457"/>
    <mergeCell ref="G452:G454"/>
    <mergeCell ref="H452:H454"/>
    <mergeCell ref="I452:I454"/>
    <mergeCell ref="J452:J454"/>
    <mergeCell ref="K452:K454"/>
    <mergeCell ref="B452:B454"/>
    <mergeCell ref="B455:B457"/>
    <mergeCell ref="C452:C454"/>
    <mergeCell ref="C455:C457"/>
    <mergeCell ref="G458:G461"/>
    <mergeCell ref="B458:B461"/>
    <mergeCell ref="C458:C461"/>
    <mergeCell ref="A485:A488"/>
    <mergeCell ref="B474:B476"/>
    <mergeCell ref="G474:G476"/>
    <mergeCell ref="H474:H476"/>
    <mergeCell ref="I474:I476"/>
    <mergeCell ref="J474:J476"/>
    <mergeCell ref="K474:K476"/>
    <mergeCell ref="A462:A476"/>
    <mergeCell ref="A479:L479"/>
    <mergeCell ref="C480:E480"/>
    <mergeCell ref="B468:B470"/>
    <mergeCell ref="H468:H470"/>
    <mergeCell ref="C468:C470"/>
    <mergeCell ref="I468:I470"/>
    <mergeCell ref="J468:J470"/>
    <mergeCell ref="K468:K470"/>
    <mergeCell ref="H471:H473"/>
    <mergeCell ref="I471:I473"/>
    <mergeCell ref="J471:J473"/>
    <mergeCell ref="C481:E481"/>
    <mergeCell ref="C485:C488"/>
    <mergeCell ref="G485:G488"/>
    <mergeCell ref="H485:H488"/>
    <mergeCell ref="I485:I488"/>
    <mergeCell ref="J493:J495"/>
    <mergeCell ref="K493:K495"/>
    <mergeCell ref="A490:A507"/>
    <mergeCell ref="H505:H507"/>
    <mergeCell ref="C502:C504"/>
    <mergeCell ref="C505:C507"/>
    <mergeCell ref="B505:B507"/>
    <mergeCell ref="B502:B504"/>
    <mergeCell ref="G502:G504"/>
    <mergeCell ref="I505:I507"/>
    <mergeCell ref="J505:J507"/>
    <mergeCell ref="J502:J504"/>
    <mergeCell ref="K502:K504"/>
    <mergeCell ref="H502:H504"/>
    <mergeCell ref="I502:I504"/>
    <mergeCell ref="K496:K498"/>
    <mergeCell ref="H499:H501"/>
    <mergeCell ref="K505:K507"/>
    <mergeCell ref="B496:B498"/>
    <mergeCell ref="I493:I495"/>
    <mergeCell ref="I499:I501"/>
    <mergeCell ref="J499:J501"/>
    <mergeCell ref="K499:K501"/>
    <mergeCell ref="B546:B548"/>
    <mergeCell ref="B549:B551"/>
    <mergeCell ref="A543:A551"/>
    <mergeCell ref="C549:C551"/>
    <mergeCell ref="G549:G551"/>
    <mergeCell ref="A542:L542"/>
    <mergeCell ref="C543:C545"/>
    <mergeCell ref="G543:G545"/>
    <mergeCell ref="H543:H545"/>
    <mergeCell ref="I543:I545"/>
    <mergeCell ref="J543:J545"/>
    <mergeCell ref="K543:K545"/>
    <mergeCell ref="B543:B545"/>
    <mergeCell ref="C546:C548"/>
    <mergeCell ref="G546:G548"/>
    <mergeCell ref="H546:H548"/>
    <mergeCell ref="I546:I548"/>
    <mergeCell ref="J546:J548"/>
    <mergeCell ref="K546:K548"/>
    <mergeCell ref="H549:H551"/>
    <mergeCell ref="I549:I551"/>
    <mergeCell ref="J549:J551"/>
    <mergeCell ref="K549:K551"/>
    <mergeCell ref="A516:A519"/>
    <mergeCell ref="C511:F511"/>
    <mergeCell ref="C512:F512"/>
    <mergeCell ref="H496:H498"/>
    <mergeCell ref="G496:G498"/>
    <mergeCell ref="I496:I498"/>
    <mergeCell ref="J527:J529"/>
    <mergeCell ref="K527:K529"/>
    <mergeCell ref="A521:A529"/>
    <mergeCell ref="A520:L520"/>
    <mergeCell ref="B524:B526"/>
    <mergeCell ref="C524:C526"/>
    <mergeCell ref="G524:G526"/>
    <mergeCell ref="H524:H526"/>
    <mergeCell ref="I524:I526"/>
    <mergeCell ref="J524:J526"/>
    <mergeCell ref="B527:B529"/>
    <mergeCell ref="C527:C529"/>
    <mergeCell ref="G527:G529"/>
    <mergeCell ref="H527:H529"/>
    <mergeCell ref="I527:I529"/>
    <mergeCell ref="B521:B523"/>
    <mergeCell ref="G521:G523"/>
    <mergeCell ref="K524:K526"/>
    <mergeCell ref="C521:C523"/>
    <mergeCell ref="H521:H523"/>
    <mergeCell ref="I521:I523"/>
    <mergeCell ref="J521:J523"/>
    <mergeCell ref="K521:K523"/>
    <mergeCell ref="B471:B473"/>
    <mergeCell ref="C471:C473"/>
    <mergeCell ref="G409:G411"/>
    <mergeCell ref="H410:H411"/>
    <mergeCell ref="A414:L414"/>
    <mergeCell ref="C415:E415"/>
    <mergeCell ref="C416:E416"/>
    <mergeCell ref="C420:C423"/>
    <mergeCell ref="B420:B423"/>
    <mergeCell ref="A420:A423"/>
    <mergeCell ref="G420:G423"/>
    <mergeCell ref="A532:L532"/>
    <mergeCell ref="C538:C541"/>
    <mergeCell ref="G538:G541"/>
    <mergeCell ref="H538:H541"/>
    <mergeCell ref="I538:I541"/>
    <mergeCell ref="J538:J541"/>
    <mergeCell ref="K538:K541"/>
    <mergeCell ref="B538:B541"/>
    <mergeCell ref="A538:A541"/>
    <mergeCell ref="C533:G533"/>
    <mergeCell ref="C534:G534"/>
    <mergeCell ref="C496:C498"/>
    <mergeCell ref="G505:G507"/>
    <mergeCell ref="H516:H519"/>
    <mergeCell ref="I516:I519"/>
    <mergeCell ref="A510:L510"/>
    <mergeCell ref="C516:C519"/>
    <mergeCell ref="G516:G519"/>
    <mergeCell ref="J516:J519"/>
    <mergeCell ref="K516:K519"/>
    <mergeCell ref="B516:B519"/>
    <mergeCell ref="B330:B332"/>
    <mergeCell ref="C330:C332"/>
    <mergeCell ref="B351:B353"/>
    <mergeCell ref="C351:C353"/>
    <mergeCell ref="G351:G353"/>
    <mergeCell ref="H351:H353"/>
    <mergeCell ref="H420:H423"/>
    <mergeCell ref="I420:I423"/>
    <mergeCell ref="J420:J423"/>
    <mergeCell ref="K420:K423"/>
    <mergeCell ref="C406:C408"/>
    <mergeCell ref="H396:H398"/>
    <mergeCell ref="I396:I398"/>
    <mergeCell ref="J396:J398"/>
    <mergeCell ref="K396:K398"/>
    <mergeCell ref="H406:H408"/>
    <mergeCell ref="I406:I408"/>
    <mergeCell ref="J406:J408"/>
    <mergeCell ref="K406:K408"/>
    <mergeCell ref="K357:K359"/>
    <mergeCell ref="B380:B383"/>
    <mergeCell ref="C380:C383"/>
    <mergeCell ref="B373:B376"/>
    <mergeCell ref="C373:C376"/>
    <mergeCell ref="G373:G376"/>
    <mergeCell ref="H373:H376"/>
    <mergeCell ref="I373:I376"/>
    <mergeCell ref="J373:J376"/>
    <mergeCell ref="D402:D405"/>
    <mergeCell ref="E402:E405"/>
    <mergeCell ref="F402:F405"/>
    <mergeCell ref="G399:G405"/>
    <mergeCell ref="K310:K312"/>
    <mergeCell ref="H313:H315"/>
    <mergeCell ref="H304:H306"/>
    <mergeCell ref="H333:H335"/>
    <mergeCell ref="I333:I335"/>
    <mergeCell ref="J333:J335"/>
    <mergeCell ref="K333:K335"/>
    <mergeCell ref="H319:H320"/>
    <mergeCell ref="I319:I320"/>
    <mergeCell ref="J319:J320"/>
    <mergeCell ref="K319:K320"/>
    <mergeCell ref="H343:H344"/>
    <mergeCell ref="J343:J344"/>
    <mergeCell ref="K343:K344"/>
    <mergeCell ref="H348:H350"/>
    <mergeCell ref="I313:I315"/>
    <mergeCell ref="J313:J315"/>
    <mergeCell ref="K313:K315"/>
    <mergeCell ref="I342:I344"/>
    <mergeCell ref="J348:J350"/>
    <mergeCell ref="K348:K350"/>
    <mergeCell ref="K339:K341"/>
    <mergeCell ref="H331:H332"/>
    <mergeCell ref="H339:H341"/>
    <mergeCell ref="J331:J332"/>
    <mergeCell ref="H345:H347"/>
    <mergeCell ref="I345:I347"/>
    <mergeCell ref="J345:J347"/>
    <mergeCell ref="J298:J300"/>
    <mergeCell ref="K298:K300"/>
    <mergeCell ref="H247:H250"/>
    <mergeCell ref="I247:I250"/>
    <mergeCell ref="K247:K250"/>
    <mergeCell ref="H251:H253"/>
    <mergeCell ref="I251:I253"/>
    <mergeCell ref="J251:J253"/>
    <mergeCell ref="K251:K253"/>
    <mergeCell ref="H327:H329"/>
    <mergeCell ref="I327:I329"/>
    <mergeCell ref="J327:J329"/>
    <mergeCell ref="K327:K329"/>
    <mergeCell ref="I304:I306"/>
    <mergeCell ref="I331:I332"/>
    <mergeCell ref="J304:J306"/>
    <mergeCell ref="K304:K306"/>
    <mergeCell ref="H310:H312"/>
    <mergeCell ref="K254:K264"/>
    <mergeCell ref="K265:K271"/>
    <mergeCell ref="K272:K278"/>
    <mergeCell ref="J272:J278"/>
    <mergeCell ref="I279:I283"/>
    <mergeCell ref="J279:J283"/>
    <mergeCell ref="K279:K283"/>
    <mergeCell ref="I284:I287"/>
    <mergeCell ref="J284:J287"/>
    <mergeCell ref="K284:K287"/>
    <mergeCell ref="I288:I290"/>
    <mergeCell ref="H254:H264"/>
    <mergeCell ref="I310:I312"/>
    <mergeCell ref="J310:J312"/>
    <mergeCell ref="J106:J108"/>
    <mergeCell ref="K106:K108"/>
    <mergeCell ref="J112:J114"/>
    <mergeCell ref="K112:K114"/>
    <mergeCell ref="I121:I123"/>
    <mergeCell ref="J121:J123"/>
    <mergeCell ref="K121:K123"/>
    <mergeCell ref="I109:I111"/>
    <mergeCell ref="J109:J111"/>
    <mergeCell ref="K109:K111"/>
    <mergeCell ref="I115:I117"/>
    <mergeCell ref="J115:J117"/>
    <mergeCell ref="K115:K117"/>
    <mergeCell ref="J295:J297"/>
    <mergeCell ref="K295:K297"/>
    <mergeCell ref="J247:J250"/>
    <mergeCell ref="J288:J290"/>
    <mergeCell ref="K288:K290"/>
    <mergeCell ref="I254:I264"/>
    <mergeCell ref="J254:J264"/>
    <mergeCell ref="I181:I183"/>
    <mergeCell ref="J181:J183"/>
    <mergeCell ref="K181:K183"/>
    <mergeCell ref="J124:J126"/>
    <mergeCell ref="K124:K126"/>
    <mergeCell ref="I159:I160"/>
    <mergeCell ref="J159:J160"/>
    <mergeCell ref="K159:K160"/>
    <mergeCell ref="K127:K137"/>
    <mergeCell ref="J235:J237"/>
    <mergeCell ref="K235:K237"/>
    <mergeCell ref="K242:K243"/>
    <mergeCell ref="H238:H240"/>
    <mergeCell ref="I238:I240"/>
    <mergeCell ref="J238:J240"/>
    <mergeCell ref="L282:L291"/>
    <mergeCell ref="J214:J216"/>
    <mergeCell ref="H112:H114"/>
    <mergeCell ref="I112:I114"/>
    <mergeCell ref="H115:H117"/>
    <mergeCell ref="H360:H362"/>
    <mergeCell ref="I360:I362"/>
    <mergeCell ref="J360:J362"/>
    <mergeCell ref="K360:K362"/>
    <mergeCell ref="H217:H219"/>
    <mergeCell ref="I217:I219"/>
    <mergeCell ref="J217:J219"/>
    <mergeCell ref="K217:K219"/>
    <mergeCell ref="H221:H222"/>
    <mergeCell ref="H354:H356"/>
    <mergeCell ref="K221:K222"/>
    <mergeCell ref="J354:J356"/>
    <mergeCell ref="K354:K356"/>
    <mergeCell ref="I336:I338"/>
    <mergeCell ref="J336:J338"/>
    <mergeCell ref="K336:K338"/>
    <mergeCell ref="L205:L207"/>
    <mergeCell ref="L187:L201"/>
    <mergeCell ref="L257:L278"/>
    <mergeCell ref="H298:H300"/>
    <mergeCell ref="I298:I300"/>
    <mergeCell ref="A121:A222"/>
    <mergeCell ref="A235:A243"/>
    <mergeCell ref="H301:H303"/>
    <mergeCell ref="I301:I303"/>
    <mergeCell ref="J301:J303"/>
    <mergeCell ref="K301:K303"/>
    <mergeCell ref="B217:B219"/>
    <mergeCell ref="G217:G219"/>
    <mergeCell ref="C217:C219"/>
    <mergeCell ref="B220:B222"/>
    <mergeCell ref="G220:G222"/>
    <mergeCell ref="C220:C222"/>
    <mergeCell ref="H292:H294"/>
    <mergeCell ref="I292:I294"/>
    <mergeCell ref="J292:J294"/>
    <mergeCell ref="K292:K294"/>
    <mergeCell ref="H295:H297"/>
    <mergeCell ref="I295:I297"/>
    <mergeCell ref="H214:H216"/>
    <mergeCell ref="I214:I216"/>
    <mergeCell ref="H187:H194"/>
    <mergeCell ref="D282:D291"/>
    <mergeCell ref="G279:G291"/>
    <mergeCell ref="E282:E291"/>
    <mergeCell ref="F282:F291"/>
    <mergeCell ref="D257:D278"/>
    <mergeCell ref="E257:E278"/>
    <mergeCell ref="F257:F278"/>
    <mergeCell ref="K238:K240"/>
    <mergeCell ref="H265:H271"/>
    <mergeCell ref="H235:H237"/>
    <mergeCell ref="I235:I237"/>
    <mergeCell ref="I354:I356"/>
    <mergeCell ref="B336:B338"/>
    <mergeCell ref="B363:B366"/>
    <mergeCell ref="C363:C366"/>
    <mergeCell ref="G363:G366"/>
    <mergeCell ref="H363:H366"/>
    <mergeCell ref="I363:I366"/>
    <mergeCell ref="J363:J366"/>
    <mergeCell ref="I348:I350"/>
    <mergeCell ref="H336:H338"/>
    <mergeCell ref="I339:I341"/>
    <mergeCell ref="J339:J341"/>
    <mergeCell ref="H357:H359"/>
    <mergeCell ref="I357:I359"/>
    <mergeCell ref="J357:J359"/>
    <mergeCell ref="A571:L571"/>
    <mergeCell ref="C572:F572"/>
    <mergeCell ref="L402:L405"/>
    <mergeCell ref="D382:D383"/>
    <mergeCell ref="E382:E383"/>
    <mergeCell ref="F382:F383"/>
    <mergeCell ref="G446:G448"/>
    <mergeCell ref="H446:H448"/>
    <mergeCell ref="J496:J498"/>
    <mergeCell ref="A489:L489"/>
    <mergeCell ref="B490:B492"/>
    <mergeCell ref="C490:C492"/>
    <mergeCell ref="G490:G492"/>
    <mergeCell ref="H490:H492"/>
    <mergeCell ref="I490:I492"/>
    <mergeCell ref="J490:J492"/>
    <mergeCell ref="K490:K492"/>
    <mergeCell ref="C573:F573"/>
    <mergeCell ref="J431:J433"/>
    <mergeCell ref="G431:G433"/>
    <mergeCell ref="A424:L424"/>
    <mergeCell ref="B431:B433"/>
    <mergeCell ref="C431:C433"/>
    <mergeCell ref="K431:K433"/>
    <mergeCell ref="J428:J430"/>
    <mergeCell ref="K428:K430"/>
    <mergeCell ref="B425:B427"/>
    <mergeCell ref="C425:C427"/>
    <mergeCell ref="G425:G427"/>
    <mergeCell ref="H425:H427"/>
    <mergeCell ref="I425:I427"/>
    <mergeCell ref="J425:J427"/>
    <mergeCell ref="K425:K427"/>
    <mergeCell ref="B428:B430"/>
    <mergeCell ref="C428:C430"/>
    <mergeCell ref="G428:G430"/>
    <mergeCell ref="H428:H430"/>
    <mergeCell ref="I428:I430"/>
    <mergeCell ref="B499:B501"/>
    <mergeCell ref="C499:C501"/>
    <mergeCell ref="G499:G501"/>
    <mergeCell ref="C434:C436"/>
    <mergeCell ref="G434:G436"/>
    <mergeCell ref="H434:H436"/>
    <mergeCell ref="I434:I436"/>
    <mergeCell ref="G493:G495"/>
    <mergeCell ref="H493:H495"/>
    <mergeCell ref="B493:B495"/>
    <mergeCell ref="C493:C495"/>
    <mergeCell ref="K582:K584"/>
    <mergeCell ref="B585:B587"/>
    <mergeCell ref="C585:C587"/>
    <mergeCell ref="G585:G587"/>
    <mergeCell ref="H585:H587"/>
    <mergeCell ref="I585:I587"/>
    <mergeCell ref="J585:J587"/>
    <mergeCell ref="K585:K587"/>
    <mergeCell ref="B588:B590"/>
    <mergeCell ref="C588:C590"/>
    <mergeCell ref="G588:G590"/>
    <mergeCell ref="H588:H590"/>
    <mergeCell ref="I588:I590"/>
    <mergeCell ref="J588:J590"/>
    <mergeCell ref="K588:K590"/>
    <mergeCell ref="A577:A580"/>
    <mergeCell ref="B577:B580"/>
    <mergeCell ref="C577:C580"/>
    <mergeCell ref="G577:G580"/>
    <mergeCell ref="H577:H580"/>
    <mergeCell ref="I577:I580"/>
    <mergeCell ref="J577:J580"/>
    <mergeCell ref="K577:K580"/>
    <mergeCell ref="A581:L581"/>
    <mergeCell ref="J591:J593"/>
    <mergeCell ref="K591:K593"/>
    <mergeCell ref="J594:J596"/>
    <mergeCell ref="K594:K596"/>
    <mergeCell ref="J597:J599"/>
    <mergeCell ref="K597:K599"/>
    <mergeCell ref="G591:G593"/>
    <mergeCell ref="G594:G596"/>
    <mergeCell ref="G597:G599"/>
    <mergeCell ref="H591:H593"/>
    <mergeCell ref="H594:H596"/>
    <mergeCell ref="H597:H599"/>
    <mergeCell ref="I591:I593"/>
    <mergeCell ref="I594:I596"/>
    <mergeCell ref="I597:I599"/>
    <mergeCell ref="B244:B246"/>
    <mergeCell ref="A244:A246"/>
    <mergeCell ref="C244:C246"/>
    <mergeCell ref="C591:C593"/>
    <mergeCell ref="B591:B593"/>
    <mergeCell ref="B594:B596"/>
    <mergeCell ref="B597:B599"/>
    <mergeCell ref="C594:C596"/>
    <mergeCell ref="C597:C599"/>
    <mergeCell ref="A591:A599"/>
    <mergeCell ref="A582:A590"/>
    <mergeCell ref="B582:B584"/>
    <mergeCell ref="C582:C584"/>
    <mergeCell ref="G582:G584"/>
    <mergeCell ref="H582:H584"/>
    <mergeCell ref="I582:I584"/>
    <mergeCell ref="J582:J58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view="pageBreakPreview" topLeftCell="A55" zoomScale="90" zoomScaleNormal="100" zoomScaleSheetLayoutView="90" workbookViewId="0">
      <selection activeCell="N110" sqref="N110"/>
    </sheetView>
  </sheetViews>
  <sheetFormatPr defaultRowHeight="15" x14ac:dyDescent="0.25"/>
  <cols>
    <col min="1" max="1" width="86.140625" style="375" customWidth="1"/>
    <col min="2" max="2" width="11.5703125" style="378" customWidth="1"/>
    <col min="3" max="3" width="17.140625" style="375" hidden="1" customWidth="1"/>
    <col min="4" max="6" width="17.140625" style="644" customWidth="1"/>
  </cols>
  <sheetData>
    <row r="1" spans="1:6" ht="42" customHeight="1" thickBot="1" x14ac:dyDescent="0.3">
      <c r="A1" s="380" t="s">
        <v>449</v>
      </c>
      <c r="B1" s="381" t="s">
        <v>450</v>
      </c>
      <c r="C1" s="380">
        <v>2017</v>
      </c>
      <c r="D1" s="607">
        <v>2017</v>
      </c>
      <c r="E1" s="607">
        <v>2018</v>
      </c>
      <c r="F1" s="608">
        <v>2019</v>
      </c>
    </row>
    <row r="2" spans="1:6" ht="18.75" customHeight="1" thickBot="1" x14ac:dyDescent="0.3">
      <c r="A2" s="402" t="s">
        <v>451</v>
      </c>
      <c r="B2" s="403" t="s">
        <v>16</v>
      </c>
      <c r="C2" s="404">
        <f>C3+C4</f>
        <v>546774027.02999997</v>
      </c>
      <c r="D2" s="609">
        <f>D3+D4</f>
        <v>484361528.63</v>
      </c>
      <c r="E2" s="609">
        <f>E3+E4</f>
        <v>484361528.63</v>
      </c>
      <c r="F2" s="610">
        <f>F3+F4</f>
        <v>484361517.97000003</v>
      </c>
    </row>
    <row r="3" spans="1:6" ht="45" x14ac:dyDescent="0.25">
      <c r="A3" s="392" t="str">
        <f>'таблица (всего)'!C48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B3" s="393" t="s">
        <v>16</v>
      </c>
      <c r="C3" s="395">
        <f>'таблица (всего)'!F48-C11</f>
        <v>68496691.530000001</v>
      </c>
      <c r="D3" s="611">
        <f>'таблица (всего)'!G48-D11</f>
        <v>68496690.530000001</v>
      </c>
      <c r="E3" s="611">
        <f>'таблица (всего)'!H48-E11</f>
        <v>68496690.530000001</v>
      </c>
      <c r="F3" s="612">
        <f>'таблица (всего)'!I48-F11</f>
        <v>68496690.530000001</v>
      </c>
    </row>
    <row r="4" spans="1:6" ht="15.75" thickBot="1" x14ac:dyDescent="0.3">
      <c r="A4" s="385" t="str">
        <f>'таблица (всего)'!C49</f>
        <v>Оказание специализированной медицинской помощи в стационарных условиях</v>
      </c>
      <c r="B4" s="377" t="s">
        <v>16</v>
      </c>
      <c r="C4" s="386">
        <f>'таблица (всего)'!F49</f>
        <v>478277335.5</v>
      </c>
      <c r="D4" s="613">
        <f>'таблица (всего)'!G49</f>
        <v>415864838.10000002</v>
      </c>
      <c r="E4" s="613">
        <f>'таблица (всего)'!H49</f>
        <v>415864838.10000002</v>
      </c>
      <c r="F4" s="614">
        <f>'таблица (всего)'!I49</f>
        <v>415864827.44</v>
      </c>
    </row>
    <row r="5" spans="1:6" ht="21" customHeight="1" thickBot="1" x14ac:dyDescent="0.3">
      <c r="A5" s="402" t="s">
        <v>453</v>
      </c>
      <c r="B5" s="403" t="s">
        <v>16</v>
      </c>
      <c r="C5" s="404">
        <f>C6</f>
        <v>0</v>
      </c>
      <c r="D5" s="609">
        <f>D6</f>
        <v>0</v>
      </c>
      <c r="E5" s="609">
        <f>E6</f>
        <v>0</v>
      </c>
      <c r="F5" s="610">
        <f>F6</f>
        <v>0</v>
      </c>
    </row>
    <row r="6" spans="1:6" ht="15.75" thickBot="1" x14ac:dyDescent="0.3">
      <c r="A6" s="400" t="s">
        <v>454</v>
      </c>
      <c r="B6" s="393" t="s">
        <v>16</v>
      </c>
      <c r="C6" s="395">
        <v>0</v>
      </c>
      <c r="D6" s="611">
        <v>0</v>
      </c>
      <c r="E6" s="611">
        <v>0</v>
      </c>
      <c r="F6" s="612">
        <v>0</v>
      </c>
    </row>
    <row r="7" spans="1:6" ht="21" customHeight="1" thickBot="1" x14ac:dyDescent="0.3">
      <c r="A7" s="402" t="s">
        <v>477</v>
      </c>
      <c r="B7" s="403" t="s">
        <v>17</v>
      </c>
      <c r="C7" s="404">
        <f>C8+C9</f>
        <v>146156853.16999999</v>
      </c>
      <c r="D7" s="609">
        <f>D8+D9</f>
        <v>141784307.16</v>
      </c>
      <c r="E7" s="609">
        <f>E8+E9</f>
        <v>141784307.16</v>
      </c>
      <c r="F7" s="610">
        <f>F8+F9</f>
        <v>141785558.88999999</v>
      </c>
    </row>
    <row r="8" spans="1:6" x14ac:dyDescent="0.25">
      <c r="A8" s="392" t="str">
        <f>'таблица (всего)'!C30</f>
        <v>Оказание первичной медико-санитарной помощи в амбулаторных условиях</v>
      </c>
      <c r="B8" s="393" t="s">
        <v>17</v>
      </c>
      <c r="C8" s="395">
        <f>'таблица (всего)'!F30</f>
        <v>125850786.58</v>
      </c>
      <c r="D8" s="611">
        <f>'таблица (всего)'!G30</f>
        <v>121478240.56999999</v>
      </c>
      <c r="E8" s="611">
        <f>'таблица (всего)'!H30</f>
        <v>121478240.56999999</v>
      </c>
      <c r="F8" s="612">
        <f>'таблица (всего)'!I30</f>
        <v>121479492.3</v>
      </c>
    </row>
    <row r="9" spans="1:6" ht="45.75" thickBot="1" x14ac:dyDescent="0.3">
      <c r="A9" s="391" t="str">
        <f>'таблица (всего)'!C29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B9" s="377" t="s">
        <v>17</v>
      </c>
      <c r="C9" s="386">
        <f>'таблица (всего)'!F29</f>
        <v>20306066.59</v>
      </c>
      <c r="D9" s="613">
        <f>'таблица (всего)'!G29</f>
        <v>20306066.59</v>
      </c>
      <c r="E9" s="613">
        <f>'таблица (всего)'!H29</f>
        <v>20306066.59</v>
      </c>
      <c r="F9" s="614">
        <f>'таблица (всего)'!I29</f>
        <v>20306066.59</v>
      </c>
    </row>
    <row r="10" spans="1:6" ht="18.75" customHeight="1" thickBot="1" x14ac:dyDescent="0.3">
      <c r="A10" s="402" t="s">
        <v>455</v>
      </c>
      <c r="B10" s="403" t="s">
        <v>452</v>
      </c>
      <c r="C10" s="404">
        <f>C11+C12</f>
        <v>25725871.289999999</v>
      </c>
      <c r="D10" s="609">
        <f>D11+D12</f>
        <v>22463011.98</v>
      </c>
      <c r="E10" s="609">
        <f>E11+E12</f>
        <v>22463011.98</v>
      </c>
      <c r="F10" s="610">
        <f>F11+F12</f>
        <v>22462963.280000001</v>
      </c>
    </row>
    <row r="11" spans="1:6" ht="45" x14ac:dyDescent="0.25">
      <c r="A11" s="401" t="str">
        <f>'таблица (всего)'!C48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B11" s="393" t="s">
        <v>452</v>
      </c>
      <c r="C11" s="395">
        <v>1841927.8</v>
      </c>
      <c r="D11" s="611">
        <v>1841928.8</v>
      </c>
      <c r="E11" s="611">
        <v>1841928.8</v>
      </c>
      <c r="F11" s="611">
        <v>1841928.8</v>
      </c>
    </row>
    <row r="12" spans="1:6" ht="15.75" thickBot="1" x14ac:dyDescent="0.3">
      <c r="A12" s="385" t="str">
        <f>'таблица (всего)'!C51</f>
        <v>Оказание специализированной медицинской помощи в условиях дневного стационара</v>
      </c>
      <c r="B12" s="377" t="s">
        <v>452</v>
      </c>
      <c r="C12" s="386">
        <f>'таблица (всего)'!F51</f>
        <v>23883943.489999998</v>
      </c>
      <c r="D12" s="613">
        <f>'таблица (всего)'!G51</f>
        <v>20621083.18</v>
      </c>
      <c r="E12" s="613">
        <f>'таблица (всего)'!H51</f>
        <v>20621083.18</v>
      </c>
      <c r="F12" s="614">
        <f>'таблица (всего)'!I51</f>
        <v>20621034.48</v>
      </c>
    </row>
    <row r="13" spans="1:6" ht="15.75" thickBot="1" x14ac:dyDescent="0.3">
      <c r="A13" s="402" t="s">
        <v>456</v>
      </c>
      <c r="B13" s="403" t="s">
        <v>18</v>
      </c>
      <c r="C13" s="404">
        <f>C14</f>
        <v>0</v>
      </c>
      <c r="D13" s="609">
        <f>D14</f>
        <v>0</v>
      </c>
      <c r="E13" s="609">
        <f>E14</f>
        <v>0</v>
      </c>
      <c r="F13" s="610">
        <f>F14</f>
        <v>0</v>
      </c>
    </row>
    <row r="14" spans="1:6" ht="15.75" thickBot="1" x14ac:dyDescent="0.3">
      <c r="A14" s="419" t="s">
        <v>457</v>
      </c>
      <c r="B14" s="420" t="s">
        <v>18</v>
      </c>
      <c r="C14" s="421">
        <v>0</v>
      </c>
      <c r="D14" s="615">
        <v>0</v>
      </c>
      <c r="E14" s="615">
        <v>0</v>
      </c>
      <c r="F14" s="616">
        <v>0</v>
      </c>
    </row>
    <row r="15" spans="1:6" ht="15.75" thickBot="1" x14ac:dyDescent="0.3">
      <c r="A15" s="422" t="s">
        <v>458</v>
      </c>
      <c r="B15" s="423"/>
      <c r="C15" s="424" t="e">
        <f>C16+C19+C20+C21+C22+C23+C26+C29+C30+C31-#REF!+C32+C33+C40</f>
        <v>#REF!</v>
      </c>
      <c r="D15" s="617">
        <f>D16+D19+D20+D21+D22+D23+D26+D29+D30+D31+D32+D33+D40</f>
        <v>417003977.68999994</v>
      </c>
      <c r="E15" s="617">
        <f>E16+E19+E20+E21+E22+E23+E26+E29+E30+E31+E32+E33+E40</f>
        <v>417413223.57999998</v>
      </c>
      <c r="F15" s="617">
        <f>F16+F19+F20+F21+F22+F23+F26+F29+F30+F31+F32+F33+F40</f>
        <v>416893897.65999997</v>
      </c>
    </row>
    <row r="16" spans="1:6" ht="15.75" thickBot="1" x14ac:dyDescent="0.3">
      <c r="A16" s="402" t="s">
        <v>478</v>
      </c>
      <c r="B16" s="403" t="s">
        <v>479</v>
      </c>
      <c r="C16" s="404">
        <f>C17+C18</f>
        <v>18226908.699999999</v>
      </c>
      <c r="D16" s="609">
        <f>D17+D18</f>
        <v>12294834.26</v>
      </c>
      <c r="E16" s="609">
        <f>E17+E18</f>
        <v>12442444.15</v>
      </c>
      <c r="F16" s="610">
        <f>F17+F18</f>
        <v>12491586.01</v>
      </c>
    </row>
    <row r="17" spans="1:6" ht="60" x14ac:dyDescent="0.25">
      <c r="A17" s="392" t="s">
        <v>476</v>
      </c>
      <c r="B17" s="393" t="s">
        <v>17</v>
      </c>
      <c r="C17" s="395">
        <f>'таблица (всего)'!F61</f>
        <v>1648040</v>
      </c>
      <c r="D17" s="611">
        <f>'таблица (всего)'!G61</f>
        <v>1648040</v>
      </c>
      <c r="E17" s="611">
        <f>'таблица (всего)'!H61</f>
        <v>1648040</v>
      </c>
      <c r="F17" s="612">
        <f>'таблица (всего)'!I61</f>
        <v>1648040</v>
      </c>
    </row>
    <row r="18" spans="1:6" ht="30.75" thickBot="1" x14ac:dyDescent="0.3">
      <c r="A18" s="408" t="str">
        <f>'таблица (всего)'!C62</f>
        <v>Оказание медицинской помощи лицам, инфицированным вирусом иммунодефицита человека, гепатитами В и С</v>
      </c>
      <c r="B18" s="409" t="s">
        <v>17</v>
      </c>
      <c r="C18" s="411">
        <f>'таблица (всего)'!F62</f>
        <v>16578868.699999999</v>
      </c>
      <c r="D18" s="618">
        <f>'таблица (всего)'!G62</f>
        <v>10646794.26</v>
      </c>
      <c r="E18" s="618">
        <f>'таблица (всего)'!H62</f>
        <v>10794404.15</v>
      </c>
      <c r="F18" s="619">
        <f>'таблица (всего)'!I62</f>
        <v>10843546.01</v>
      </c>
    </row>
    <row r="19" spans="1:6" ht="15.75" thickBot="1" x14ac:dyDescent="0.3">
      <c r="A19" s="412" t="str">
        <f>'таблица (всего)'!C50</f>
        <v xml:space="preserve">Проведение патологоанатомических вскрытий </v>
      </c>
      <c r="B19" s="397" t="s">
        <v>16</v>
      </c>
      <c r="C19" s="399">
        <f>'таблица (всего)'!F50</f>
        <v>15210959.310000001</v>
      </c>
      <c r="D19" s="620">
        <f>'таблица (всего)'!G50</f>
        <v>13953093.43</v>
      </c>
      <c r="E19" s="620">
        <f>'таблица (всего)'!H50</f>
        <v>13953093.43</v>
      </c>
      <c r="F19" s="621">
        <f>'таблица (всего)'!I50</f>
        <v>13953107.560000001</v>
      </c>
    </row>
    <row r="20" spans="1:6" ht="86.25" thickBot="1" x14ac:dyDescent="0.3">
      <c r="A20" s="412" t="str">
        <f>'таблица (всего)'!C104</f>
        <v>Компенсация стоимости проезда лицам,направленным областными учреждениями здравоохранения на обязательное обследование(консультацию) или лечение в областные противотуберкулезные учреждения или их подразделения до места обследования (консультации) или лечения (туда и обратно) на транспорте городского, пригородного и межмуниципального сообщения</v>
      </c>
      <c r="B20" s="397" t="s">
        <v>459</v>
      </c>
      <c r="C20" s="399">
        <f>'таблица (всего)'!F104</f>
        <v>585942.4</v>
      </c>
      <c r="D20" s="620">
        <f>'таблица (всего)'!G105</f>
        <v>300000</v>
      </c>
      <c r="E20" s="620">
        <f>'таблица (всего)'!H105</f>
        <v>300000</v>
      </c>
      <c r="F20" s="620">
        <f>'таблица (всего)'!I105</f>
        <v>300000</v>
      </c>
    </row>
    <row r="21" spans="1:6" ht="57.75" thickBot="1" x14ac:dyDescent="0.3">
      <c r="A21" s="412" t="str">
        <f>'таблица (всего)'!C106</f>
        <v>Обеспечение лиц, состоящих на диспансерном учете в ОБУЗ «Областной противотуберкулезный диспансер имени М.Б. Стоюнина», ежемесячным продуктовым набором на весь период курса противотуберкулезной терапии в амбулаторных условиях и в условиях дневных стационаров</v>
      </c>
      <c r="B21" s="397" t="s">
        <v>460</v>
      </c>
      <c r="C21" s="399">
        <f>'таблица (всего)'!F106</f>
        <v>120000</v>
      </c>
      <c r="D21" s="620">
        <f>'таблица (всего)'!G106</f>
        <v>120000</v>
      </c>
      <c r="E21" s="620">
        <f>'таблица (всего)'!H106</f>
        <v>120000</v>
      </c>
      <c r="F21" s="621">
        <f>'таблица (всего)'!I106</f>
        <v>120000</v>
      </c>
    </row>
    <row r="22" spans="1:6" ht="114.75" thickBot="1" x14ac:dyDescent="0.3">
      <c r="A22" s="413" t="str">
        <f>'таблица (всего)'!C108</f>
        <v>Компенсация затрат по проезду на транспорте общего пользования междугороднего и пригородного сообщения к месту получения процедуры диализа на аппарате «искусственная почка» и обратно больным с хронической почечной недостаточностью, получающим данную процедуру в медицинских организациях,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области, в том числе территориальной программы обязательного медицинского страхования</v>
      </c>
      <c r="B22" s="406" t="s">
        <v>452</v>
      </c>
      <c r="C22" s="407">
        <f>'таблица (всего)'!F108</f>
        <v>1001900</v>
      </c>
      <c r="D22" s="622">
        <f>'таблица (всего)'!G108</f>
        <v>1001899.94</v>
      </c>
      <c r="E22" s="622">
        <f>'таблица (всего)'!H108</f>
        <v>1001899.94</v>
      </c>
      <c r="F22" s="623">
        <f>'таблица (всего)'!I108</f>
        <v>1001899.94</v>
      </c>
    </row>
    <row r="23" spans="1:6" ht="29.25" thickBot="1" x14ac:dyDescent="0.3">
      <c r="A23" s="414" t="str">
        <f>'таблица (всего)'!C74</f>
        <v xml:space="preserve">«Заготовка, хранение, транспортировка и обеспечение безопасности донорской крови и (или) ее компонентов» </v>
      </c>
      <c r="B23" s="403"/>
      <c r="C23" s="405">
        <f>C24+C25</f>
        <v>110823006.63</v>
      </c>
      <c r="D23" s="609">
        <f>D24+D25</f>
        <v>92612194.180000007</v>
      </c>
      <c r="E23" s="609">
        <f>E24+E25</f>
        <v>92612194.180000007</v>
      </c>
      <c r="F23" s="624">
        <f>F24+F25</f>
        <v>92612194.180000007</v>
      </c>
    </row>
    <row r="24" spans="1:6" ht="30" x14ac:dyDescent="0.25">
      <c r="A24" s="392" t="str">
        <f>'таблица (всего)'!C79</f>
        <v>Осуществление заготовки, хранения, транспортировки и обеспечения безопасности донорской крови и (или) ее компонентов</v>
      </c>
      <c r="B24" s="393"/>
      <c r="C24" s="395">
        <f>'таблица (всего)'!F79</f>
        <v>102180006.63</v>
      </c>
      <c r="D24" s="611">
        <f>'таблица (всего)'!G79</f>
        <v>83969194.180000007</v>
      </c>
      <c r="E24" s="611">
        <f>'таблица (всего)'!H79</f>
        <v>83969194.180000007</v>
      </c>
      <c r="F24" s="612">
        <f>'таблица (всего)'!I79</f>
        <v>83969194.180000007</v>
      </c>
    </row>
    <row r="25" spans="1:6" ht="30.75" thickBot="1" x14ac:dyDescent="0.3">
      <c r="A25" s="408" t="str">
        <f>'таблица (всего)'!C80</f>
        <v>Обеспечение доноров, безвозмездно сдавших кровь и (или) ее компоненты, бесплатным питанием</v>
      </c>
      <c r="B25" s="409"/>
      <c r="C25" s="411">
        <f>'таблица (всего)'!F80</f>
        <v>8643000</v>
      </c>
      <c r="D25" s="618">
        <f>'таблица (всего)'!G80</f>
        <v>8643000</v>
      </c>
      <c r="E25" s="618">
        <f>'таблица (всего)'!H80</f>
        <v>8643000</v>
      </c>
      <c r="F25" s="619">
        <f>'таблица (всего)'!I80</f>
        <v>8643000</v>
      </c>
    </row>
    <row r="26" spans="1:6" ht="43.5" thickBot="1" x14ac:dyDescent="0.3">
      <c r="A26" s="414" t="str">
        <f>'таблица (всего)'!C84</f>
        <v xml:space="preserve">«Выхаживание и содержание детей-сирот, детей, оставшихся без попечения родителей, и детей, находящихся в трудной жизненной ситуации, с рождения и до достижения ими возраста четырех лет включительно» </v>
      </c>
      <c r="B26" s="403"/>
      <c r="C26" s="405">
        <f>C27+C28</f>
        <v>49041567.780000001</v>
      </c>
      <c r="D26" s="609">
        <f>D27+D28</f>
        <v>43585405.539999999</v>
      </c>
      <c r="E26" s="609">
        <f>E27+E28</f>
        <v>43585405.539999999</v>
      </c>
      <c r="F26" s="624">
        <f>F27+F28</f>
        <v>43585405.539999999</v>
      </c>
    </row>
    <row r="27" spans="1:6" ht="45" x14ac:dyDescent="0.25">
      <c r="A27" s="392" t="str">
        <f>'таблица (всего)'!C85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B27" s="393"/>
      <c r="C27" s="395">
        <f>'таблица (всего)'!F85</f>
        <v>3281296.21</v>
      </c>
      <c r="D27" s="611">
        <f>'таблица (всего)'!G85</f>
        <v>3281296.21</v>
      </c>
      <c r="E27" s="611">
        <f>'таблица (всего)'!H85</f>
        <v>3281296.21</v>
      </c>
      <c r="F27" s="612">
        <f>'таблица (всего)'!I85</f>
        <v>3281296.21</v>
      </c>
    </row>
    <row r="28" spans="1:6" ht="60.75" thickBot="1" x14ac:dyDescent="0.3">
      <c r="A28" s="385" t="str">
        <f>'таблица (всего)'!C86</f>
        <v xml:space="preserve">Обеспечение содержания, воспитания, оказания медицинской и социальной помощи детям-сиротам и детям, оставшимся без попечения родителей, детям, находящимся в трудной жизненной ситуации, до достижения ими возраста четырех лет включительно
</v>
      </c>
      <c r="B28" s="377"/>
      <c r="C28" s="386">
        <f>'таблица (всего)'!F86</f>
        <v>45760271.57</v>
      </c>
      <c r="D28" s="613">
        <f>'таблица (всего)'!G86</f>
        <v>40304109.329999998</v>
      </c>
      <c r="E28" s="613">
        <f>'таблица (всего)'!H86</f>
        <v>40304109.329999998</v>
      </c>
      <c r="F28" s="614">
        <f>'таблица (всего)'!I86</f>
        <v>40304109.329999998</v>
      </c>
    </row>
    <row r="29" spans="1:6" ht="29.25" thickBot="1" x14ac:dyDescent="0.3">
      <c r="A29" s="412" t="str">
        <f>'таблица (всего)'!C92</f>
        <v xml:space="preserve"> «Формирование и сопровождение единой информационно-аналитической системы здравоохранения Ивановской области»</v>
      </c>
      <c r="B29" s="397"/>
      <c r="C29" s="399">
        <f>'таблица (всего)'!F93</f>
        <v>6413870.2800000003</v>
      </c>
      <c r="D29" s="620">
        <f>'таблица (всего)'!G93</f>
        <v>6705615.8700000001</v>
      </c>
      <c r="E29" s="620">
        <f>'таблица (всего)'!H93</f>
        <v>6705615.8700000001</v>
      </c>
      <c r="F29" s="621">
        <f>'таблица (всего)'!I93</f>
        <v>6705616</v>
      </c>
    </row>
    <row r="30" spans="1:6" ht="43.5" thickBot="1" x14ac:dyDescent="0.3">
      <c r="A30" s="412" t="str">
        <f>'таблица (всего)'!C94</f>
        <v>«Выполнение мероприятий по размещению, хранению, освежению, замене материальных ценностей мобилизационного резерва медицинского и санитарно-хозяйственного назначения»</v>
      </c>
      <c r="B30" s="397"/>
      <c r="C30" s="399">
        <f>'таблица (всего)'!F95</f>
        <v>22190295.579999998</v>
      </c>
      <c r="D30" s="620">
        <f>'таблица (всего)'!G95</f>
        <v>19198596.66</v>
      </c>
      <c r="E30" s="620">
        <f>'таблица (всего)'!H95</f>
        <v>19198596.66</v>
      </c>
      <c r="F30" s="621">
        <f>'таблица (всего)'!I95</f>
        <v>19198596.66</v>
      </c>
    </row>
    <row r="31" spans="1:6" ht="29.25" thickBot="1" x14ac:dyDescent="0.3">
      <c r="A31" s="672" t="str">
        <f>'таблица (всего)'!C90</f>
        <v>«Выполнение мероприятий, направленных на спасение жизни людей и защиту их здоровья при чрезвычайных ситуациях»</v>
      </c>
      <c r="B31" s="673"/>
      <c r="C31" s="674">
        <f>'таблица (всего)'!F91</f>
        <v>3608099.37</v>
      </c>
      <c r="D31" s="675">
        <f>'таблица (всего)'!G91</f>
        <v>3371276.69</v>
      </c>
      <c r="E31" s="675">
        <f>'таблица (всего)'!H91</f>
        <v>3371276.69</v>
      </c>
      <c r="F31" s="676">
        <f>'таблица (всего)'!I91</f>
        <v>3371276.69</v>
      </c>
    </row>
    <row r="32" spans="1:6" ht="15.75" thickBot="1" x14ac:dyDescent="0.3">
      <c r="A32" s="412" t="str">
        <f>'таблица (всего)'!C96</f>
        <v xml:space="preserve">«Судебно-медицинская экспертиза» </v>
      </c>
      <c r="B32" s="397"/>
      <c r="C32" s="399">
        <f>'таблица (всего)'!F96</f>
        <v>38384167.079999998</v>
      </c>
      <c r="D32" s="620">
        <f>'таблица (всего)'!G96</f>
        <v>36596104.5</v>
      </c>
      <c r="E32" s="620">
        <f>'таблица (всего)'!H96</f>
        <v>36596104.5</v>
      </c>
      <c r="F32" s="621">
        <f>'таблица (всего)'!I96</f>
        <v>36596104.5</v>
      </c>
    </row>
    <row r="33" spans="1:6" ht="15.75" thickBot="1" x14ac:dyDescent="0.3">
      <c r="A33" s="414" t="s">
        <v>480</v>
      </c>
      <c r="B33" s="403"/>
      <c r="C33" s="404">
        <f>C34+C35+C36+C37+C38+C39</f>
        <v>110719457.96000001</v>
      </c>
      <c r="D33" s="609">
        <f>D34+D35+D36+D37+D38+D39</f>
        <v>182064956.61999997</v>
      </c>
      <c r="E33" s="609">
        <f>E34+E35+E36+E37+E38+E39</f>
        <v>182326592.61999997</v>
      </c>
      <c r="F33" s="610">
        <f>F34+F35+F36+F37+F38+F39</f>
        <v>181758110.57999998</v>
      </c>
    </row>
    <row r="34" spans="1:6" ht="60" x14ac:dyDescent="0.25">
      <c r="A34" s="392" t="str">
        <f>'таблица (всего)'!C33</f>
        <v>Обеспечение государственных учреждений здравоохранения Ивановской области иммунобиологическими лекарственными препаратами для иммунопрофилактики в целях проведения профилактических прививок, включенных в календарь профилактических прививок по эпидемическим показаниям</v>
      </c>
      <c r="B34" s="393"/>
      <c r="C34" s="395">
        <f>'таблица (всего)'!F33</f>
        <v>5554007.3099999996</v>
      </c>
      <c r="D34" s="611">
        <f>'таблица (всего)'!G33</f>
        <v>6000000</v>
      </c>
      <c r="E34" s="611">
        <f>'таблица (всего)'!H33</f>
        <v>6000000</v>
      </c>
      <c r="F34" s="612">
        <f>'таблица (всего)'!I33</f>
        <v>6000000</v>
      </c>
    </row>
    <row r="35" spans="1:6" ht="45" x14ac:dyDescent="0.25">
      <c r="A35" s="385" t="str">
        <f>'таблица (всего)'!C110</f>
        <v>Обеспечение лиц, больных сахарным диабетом, сахаропонижающими препаратами, средствами индивидуального контроля, средствами введения (шприц-ручки, шприцы инсулиновые и иглы к ним)</v>
      </c>
      <c r="B35" s="377"/>
      <c r="C35" s="386">
        <f>'таблица (всего)'!F110</f>
        <v>64060542</v>
      </c>
      <c r="D35" s="613">
        <f>'таблица (всего)'!G110</f>
        <v>133157813.2</v>
      </c>
      <c r="E35" s="613">
        <f>'таблица (всего)'!H110</f>
        <v>133419449.2</v>
      </c>
      <c r="F35" s="614">
        <f>'таблица (всего)'!I110</f>
        <v>132850967.16</v>
      </c>
    </row>
    <row r="36" spans="1:6" ht="120" x14ac:dyDescent="0.25">
      <c r="A36" s="385" t="str">
        <f>'таблица (всего)'!C111</f>
        <v>Обеспечение больных артериальной гипертонией с 3 - 4 степенью риска осложнений, состоящих на диспансерном учете, не имеющих права на получение мер социальной поддержки по обеспечению лекарственными препаратами по данному заболеванию, в том числе в виде денежных компенсаций, в соответствии с федеральным законодательством, из числа социально не защищенных категорий граждан и работников, подлежащих дополнительной диспансеризации в рамках реализации приоритетного национального проекта в сфере здравоохранения, бесплатным необходимым минимумом гипотензивных лекарственных препаратов</v>
      </c>
      <c r="B36" s="377"/>
      <c r="C36" s="386">
        <f>'таблица (всего)'!F111</f>
        <v>5000</v>
      </c>
      <c r="D36" s="613">
        <f>'таблица (всего)'!G111</f>
        <v>0</v>
      </c>
      <c r="E36" s="613">
        <f>'таблица (всего)'!H111</f>
        <v>0</v>
      </c>
      <c r="F36" s="614">
        <f>'таблица (всего)'!I111</f>
        <v>0</v>
      </c>
    </row>
    <row r="37" spans="1:6" ht="45" x14ac:dyDescent="0.25">
      <c r="A37" s="385" t="str">
        <f>'таблица (всего)'!C112</f>
        <v>Обеспечение детей первых трех лет жизни, страдающих болезнями мочеполовой системы, болезнями органов пищеварения, бронхиальной астмой, болезнями органов дыхания, болезнями нервной системы, бесплатными лекарственными препаратами</v>
      </c>
      <c r="B37" s="377"/>
      <c r="C37" s="386">
        <f>'таблица (всего)'!F112</f>
        <v>2442883.7200000002</v>
      </c>
      <c r="D37" s="613">
        <f>'таблица (всего)'!G112</f>
        <v>5000000</v>
      </c>
      <c r="E37" s="613">
        <f>'таблица (всего)'!H112</f>
        <v>5000000</v>
      </c>
      <c r="F37" s="614">
        <f>'таблица (всего)'!I112</f>
        <v>5000000</v>
      </c>
    </row>
    <row r="38" spans="1:6" ht="90" x14ac:dyDescent="0.25">
      <c r="A38" s="385" t="str">
        <f>'таблица (всего)'!C113</f>
        <v>Обеспечение детей с рождения до 18 лет, страдающих фенилкетонурией, галактоземией, состоящих на диспансерном учете, не являющихся детьми-инвалидами и не имеющих права на получение мер социальной поддержки по обеспечению лекарственными препаратами по данным заболеваниям, в том числе в виде денежных компенсаций, в соответствии с федеральным законодательством, бесплатным лечебным питанием (заместительной терапией)</v>
      </c>
      <c r="B38" s="377"/>
      <c r="C38" s="386">
        <f>'таблица (всего)'!F113</f>
        <v>10057024.93</v>
      </c>
      <c r="D38" s="613">
        <f>'таблица (всего)'!G113</f>
        <v>9307143.4199999999</v>
      </c>
      <c r="E38" s="613">
        <f>'таблица (всего)'!H113</f>
        <v>9307143.4199999999</v>
      </c>
      <c r="F38" s="614">
        <f>'таблица (всего)'!I113</f>
        <v>9307143.4199999999</v>
      </c>
    </row>
    <row r="39" spans="1:6" ht="30.75" thickBot="1" x14ac:dyDescent="0.3">
      <c r="A39" s="418" t="str">
        <f>'таблица (всего)'!C168</f>
        <v xml:space="preserve">Обеспечение полноценным питанием детей в возрасте до трех лет
</v>
      </c>
      <c r="B39" s="409"/>
      <c r="C39" s="411">
        <f>'таблица (всего)'!F168</f>
        <v>28600000</v>
      </c>
      <c r="D39" s="618">
        <f>'таблица (всего)'!G168</f>
        <v>28600000</v>
      </c>
      <c r="E39" s="618">
        <f>'таблица (всего)'!H168</f>
        <v>28600000</v>
      </c>
      <c r="F39" s="619">
        <f>'таблица (всего)'!I168</f>
        <v>28600000</v>
      </c>
    </row>
    <row r="40" spans="1:6" ht="29.25" thickBot="1" x14ac:dyDescent="0.3">
      <c r="A40" s="415" t="str">
        <f>'таблица (всего)'!C31</f>
        <v>Закупка аллергена туберкулезного очищенного в стандартном разведении для проведения туберкулинодианостики</v>
      </c>
      <c r="B40" s="416"/>
      <c r="C40" s="417">
        <f>'таблица (всего)'!F31</f>
        <v>5000000</v>
      </c>
      <c r="D40" s="627">
        <f>'таблица (всего)'!G31</f>
        <v>5200000</v>
      </c>
      <c r="E40" s="627">
        <f>'таблица (всего)'!H31</f>
        <v>5200000</v>
      </c>
      <c r="F40" s="628">
        <f>'таблица (всего)'!I31</f>
        <v>5200000</v>
      </c>
    </row>
    <row r="41" spans="1:6" ht="18.75" customHeight="1" thickBot="1" x14ac:dyDescent="0.3">
      <c r="A41" s="414" t="s">
        <v>492</v>
      </c>
      <c r="B41" s="403"/>
      <c r="C41" s="404">
        <f>C42+C50</f>
        <v>18981100</v>
      </c>
      <c r="D41" s="609">
        <f>D42+D50</f>
        <v>0</v>
      </c>
      <c r="E41" s="609">
        <f>E42+E50</f>
        <v>0</v>
      </c>
      <c r="F41" s="610">
        <f>F42+F50</f>
        <v>0</v>
      </c>
    </row>
    <row r="42" spans="1:6" ht="18" customHeight="1" thickBot="1" x14ac:dyDescent="0.3">
      <c r="A42" s="412" t="s">
        <v>489</v>
      </c>
      <c r="B42" s="397"/>
      <c r="C42" s="398">
        <f>SUM(C43:C49)</f>
        <v>6750000</v>
      </c>
      <c r="D42" s="620">
        <f>SUM(D43:D49)</f>
        <v>0</v>
      </c>
      <c r="E42" s="620">
        <f>SUM(E43:E49)</f>
        <v>0</v>
      </c>
      <c r="F42" s="629">
        <f>SUM(F43:F49)</f>
        <v>0</v>
      </c>
    </row>
    <row r="43" spans="1:6" x14ac:dyDescent="0.25">
      <c r="A43" s="392"/>
      <c r="B43" s="393"/>
      <c r="C43" s="394">
        <v>850000</v>
      </c>
      <c r="D43" s="611"/>
      <c r="E43" s="611"/>
      <c r="F43" s="630"/>
    </row>
    <row r="44" spans="1:6" x14ac:dyDescent="0.25">
      <c r="A44" s="385"/>
      <c r="B44" s="377"/>
      <c r="C44" s="379">
        <v>480000</v>
      </c>
      <c r="D44" s="613"/>
      <c r="E44" s="613"/>
      <c r="F44" s="631"/>
    </row>
    <row r="45" spans="1:6" x14ac:dyDescent="0.25">
      <c r="A45" s="385"/>
      <c r="B45" s="377"/>
      <c r="C45" s="379">
        <v>1020000</v>
      </c>
      <c r="D45" s="613"/>
      <c r="E45" s="613"/>
      <c r="F45" s="631"/>
    </row>
    <row r="46" spans="1:6" x14ac:dyDescent="0.25">
      <c r="A46" s="385"/>
      <c r="B46" s="377"/>
      <c r="C46" s="379">
        <v>1400000</v>
      </c>
      <c r="D46" s="613"/>
      <c r="E46" s="613"/>
      <c r="F46" s="631"/>
    </row>
    <row r="47" spans="1:6" x14ac:dyDescent="0.25">
      <c r="A47" s="385"/>
      <c r="B47" s="377"/>
      <c r="C47" s="379">
        <v>500000</v>
      </c>
      <c r="D47" s="613"/>
      <c r="E47" s="613"/>
      <c r="F47" s="631"/>
    </row>
    <row r="48" spans="1:6" x14ac:dyDescent="0.25">
      <c r="A48" s="385"/>
      <c r="B48" s="377"/>
      <c r="C48" s="379">
        <v>1000000</v>
      </c>
      <c r="D48" s="613"/>
      <c r="E48" s="613"/>
      <c r="F48" s="631"/>
    </row>
    <row r="49" spans="1:6" ht="15.75" thickBot="1" x14ac:dyDescent="0.3">
      <c r="A49" s="445"/>
      <c r="B49" s="428"/>
      <c r="C49" s="429">
        <v>1500000</v>
      </c>
      <c r="D49" s="632"/>
      <c r="E49" s="632"/>
      <c r="F49" s="633"/>
    </row>
    <row r="50" spans="1:6" ht="18" customHeight="1" thickBot="1" x14ac:dyDescent="0.3">
      <c r="A50" s="412" t="s">
        <v>490</v>
      </c>
      <c r="B50" s="397"/>
      <c r="C50" s="398">
        <f>SUM(C51:C57)</f>
        <v>12231100</v>
      </c>
      <c r="D50" s="620">
        <f>SUM(D51:D57)</f>
        <v>0</v>
      </c>
      <c r="E50" s="620">
        <f>SUM(E51:E57)</f>
        <v>0</v>
      </c>
      <c r="F50" s="629">
        <f>SUM(F51:F57)</f>
        <v>0</v>
      </c>
    </row>
    <row r="51" spans="1:6" x14ac:dyDescent="0.25">
      <c r="A51" s="392"/>
      <c r="B51" s="393"/>
      <c r="C51" s="394">
        <v>9331100</v>
      </c>
      <c r="D51" s="611"/>
      <c r="E51" s="611"/>
      <c r="F51" s="630"/>
    </row>
    <row r="52" spans="1:6" x14ac:dyDescent="0.25">
      <c r="A52" s="385"/>
      <c r="B52" s="377"/>
      <c r="C52" s="379">
        <v>800000</v>
      </c>
      <c r="D52" s="613"/>
      <c r="E52" s="613"/>
      <c r="F52" s="631"/>
    </row>
    <row r="53" spans="1:6" x14ac:dyDescent="0.25">
      <c r="A53" s="385"/>
      <c r="B53" s="377"/>
      <c r="C53" s="379">
        <v>800000</v>
      </c>
      <c r="D53" s="613"/>
      <c r="E53" s="613"/>
      <c r="F53" s="631"/>
    </row>
    <row r="54" spans="1:6" x14ac:dyDescent="0.25">
      <c r="A54" s="385"/>
      <c r="B54" s="377"/>
      <c r="C54" s="379">
        <v>510000</v>
      </c>
      <c r="D54" s="613"/>
      <c r="E54" s="613"/>
      <c r="F54" s="631"/>
    </row>
    <row r="55" spans="1:6" x14ac:dyDescent="0.25">
      <c r="A55" s="385"/>
      <c r="B55" s="377"/>
      <c r="C55" s="379">
        <v>190000</v>
      </c>
      <c r="D55" s="613"/>
      <c r="E55" s="613"/>
      <c r="F55" s="631"/>
    </row>
    <row r="56" spans="1:6" x14ac:dyDescent="0.25">
      <c r="A56" s="445"/>
      <c r="B56" s="428"/>
      <c r="C56" s="429">
        <v>400000</v>
      </c>
      <c r="D56" s="632"/>
      <c r="E56" s="632"/>
      <c r="F56" s="633"/>
    </row>
    <row r="57" spans="1:6" ht="15.75" thickBot="1" x14ac:dyDescent="0.3">
      <c r="A57" s="408"/>
      <c r="B57" s="409"/>
      <c r="C57" s="410">
        <v>200000</v>
      </c>
      <c r="D57" s="618"/>
      <c r="E57" s="618"/>
      <c r="F57" s="634"/>
    </row>
    <row r="58" spans="1:6" ht="15.75" thickBot="1" x14ac:dyDescent="0.3">
      <c r="A58" s="442" t="s">
        <v>461</v>
      </c>
      <c r="B58" s="443"/>
      <c r="C58" s="444" t="e">
        <f>C2+C5+C7+C10+C13+C15+C41</f>
        <v>#REF!</v>
      </c>
      <c r="D58" s="635">
        <f>D2+D5+D7+D10+D13+D15+D41</f>
        <v>1065612825.4599999</v>
      </c>
      <c r="E58" s="635">
        <f>E2+E5+E7+E10+E13+E15+E41</f>
        <v>1066022071.3499999</v>
      </c>
      <c r="F58" s="636">
        <f>F2+F5+F7+F10+F13+F15+F41</f>
        <v>1065503937.8</v>
      </c>
    </row>
    <row r="59" spans="1:6" x14ac:dyDescent="0.25">
      <c r="A59" s="400" t="s">
        <v>462</v>
      </c>
      <c r="B59" s="393" t="s">
        <v>18</v>
      </c>
      <c r="C59" s="394">
        <f>C13</f>
        <v>0</v>
      </c>
      <c r="D59" s="611">
        <f>D13</f>
        <v>0</v>
      </c>
      <c r="E59" s="611">
        <f>E13</f>
        <v>0</v>
      </c>
      <c r="F59" s="630">
        <f>F13</f>
        <v>0</v>
      </c>
    </row>
    <row r="60" spans="1:6" x14ac:dyDescent="0.25">
      <c r="A60" s="390" t="s">
        <v>463</v>
      </c>
      <c r="B60" s="377" t="s">
        <v>16</v>
      </c>
      <c r="C60" s="379">
        <f>C2</f>
        <v>546774027.02999997</v>
      </c>
      <c r="D60" s="613">
        <f>D2</f>
        <v>484361528.63</v>
      </c>
      <c r="E60" s="613">
        <f>E2</f>
        <v>484361528.63</v>
      </c>
      <c r="F60" s="631">
        <f>F2</f>
        <v>484361517.97000003</v>
      </c>
    </row>
    <row r="61" spans="1:6" x14ac:dyDescent="0.25">
      <c r="A61" s="390" t="s">
        <v>464</v>
      </c>
      <c r="B61" s="377" t="s">
        <v>17</v>
      </c>
      <c r="C61" s="379">
        <f>C7</f>
        <v>146156853.16999999</v>
      </c>
      <c r="D61" s="613">
        <f>D7</f>
        <v>141784307.16</v>
      </c>
      <c r="E61" s="613">
        <f>E7</f>
        <v>141784307.16</v>
      </c>
      <c r="F61" s="631">
        <f>F7</f>
        <v>141785558.88999999</v>
      </c>
    </row>
    <row r="62" spans="1:6" x14ac:dyDescent="0.25">
      <c r="A62" s="390" t="s">
        <v>465</v>
      </c>
      <c r="B62" s="377" t="s">
        <v>452</v>
      </c>
      <c r="C62" s="379">
        <f>C10</f>
        <v>25725871.289999999</v>
      </c>
      <c r="D62" s="613">
        <f>D10</f>
        <v>22463011.98</v>
      </c>
      <c r="E62" s="613">
        <f>E10</f>
        <v>22463011.98</v>
      </c>
      <c r="F62" s="631">
        <f>F10</f>
        <v>22462963.280000001</v>
      </c>
    </row>
    <row r="63" spans="1:6" x14ac:dyDescent="0.25">
      <c r="A63" s="390" t="s">
        <v>466</v>
      </c>
      <c r="B63" s="377" t="s">
        <v>16</v>
      </c>
      <c r="C63" s="379">
        <f>C5</f>
        <v>0</v>
      </c>
      <c r="D63" s="613">
        <f>D5</f>
        <v>0</v>
      </c>
      <c r="E63" s="613">
        <f>E5</f>
        <v>0</v>
      </c>
      <c r="F63" s="631">
        <f>F5</f>
        <v>0</v>
      </c>
    </row>
    <row r="64" spans="1:6" x14ac:dyDescent="0.25">
      <c r="A64" s="427" t="s">
        <v>467</v>
      </c>
      <c r="B64" s="428"/>
      <c r="C64" s="429" t="e">
        <f>C15</f>
        <v>#REF!</v>
      </c>
      <c r="D64" s="632">
        <f>D15</f>
        <v>417003977.68999994</v>
      </c>
      <c r="E64" s="632">
        <f>E15</f>
        <v>417413223.57999998</v>
      </c>
      <c r="F64" s="633">
        <f>F15</f>
        <v>416893897.65999997</v>
      </c>
    </row>
    <row r="65" spans="1:6" ht="15.75" thickBot="1" x14ac:dyDescent="0.3">
      <c r="A65" s="418" t="s">
        <v>491</v>
      </c>
      <c r="B65" s="409"/>
      <c r="C65" s="410">
        <f>C41</f>
        <v>18981100</v>
      </c>
      <c r="D65" s="618">
        <f>D41</f>
        <v>0</v>
      </c>
      <c r="E65" s="618">
        <f>E41</f>
        <v>0</v>
      </c>
      <c r="F65" s="634">
        <f>F41</f>
        <v>0</v>
      </c>
    </row>
    <row r="66" spans="1:6" ht="15.75" thickBot="1" x14ac:dyDescent="0.3">
      <c r="A66" s="396" t="s">
        <v>481</v>
      </c>
      <c r="B66" s="397"/>
      <c r="C66" s="399" t="e">
        <f>SUM(C59:C65)</f>
        <v>#REF!</v>
      </c>
      <c r="D66" s="620">
        <f>SUM(D59:D65)</f>
        <v>1065612825.4599999</v>
      </c>
      <c r="E66" s="620">
        <f>SUM(E59:E65)</f>
        <v>1066022071.3499999</v>
      </c>
      <c r="F66" s="621">
        <f>SUM(F59:F65)</f>
        <v>1065503937.8</v>
      </c>
    </row>
    <row r="67" spans="1:6" ht="15.75" thickBot="1" x14ac:dyDescent="0.3">
      <c r="A67" s="431"/>
      <c r="B67" s="432"/>
      <c r="C67" s="439" t="s">
        <v>483</v>
      </c>
      <c r="D67" s="623" t="s">
        <v>483</v>
      </c>
      <c r="E67" s="622" t="s">
        <v>483</v>
      </c>
      <c r="F67" s="637" t="s">
        <v>483</v>
      </c>
    </row>
    <row r="68" spans="1:6" x14ac:dyDescent="0.25">
      <c r="A68" s="382" t="s">
        <v>482</v>
      </c>
      <c r="B68" s="383"/>
      <c r="C68" s="384" t="e">
        <f>ROUND(C66/1000,1)</f>
        <v>#REF!</v>
      </c>
      <c r="D68" s="638">
        <f>ROUND(D66/1000,1)</f>
        <v>1065612.8</v>
      </c>
      <c r="E68" s="638">
        <f>ROUND(E66/1000,1)</f>
        <v>1066022.1000000001</v>
      </c>
      <c r="F68" s="639">
        <f>ROUND(F66/1000,1)</f>
        <v>1065503.8999999999</v>
      </c>
    </row>
    <row r="69" spans="1:6" x14ac:dyDescent="0.25">
      <c r="A69" s="434" t="s">
        <v>502</v>
      </c>
      <c r="B69" s="376"/>
      <c r="C69" s="435">
        <v>1032500</v>
      </c>
      <c r="D69" s="640">
        <v>1026800</v>
      </c>
      <c r="E69" s="640">
        <v>1020900</v>
      </c>
      <c r="F69" s="641">
        <v>1014900</v>
      </c>
    </row>
    <row r="70" spans="1:6" x14ac:dyDescent="0.25">
      <c r="A70" s="434" t="s">
        <v>484</v>
      </c>
      <c r="B70" s="376"/>
      <c r="C70" s="435" t="e">
        <f>ROUND(C66/C69,1)</f>
        <v>#REF!</v>
      </c>
      <c r="D70" s="640">
        <f>ROUND(D66/D69,1)</f>
        <v>1037.8</v>
      </c>
      <c r="E70" s="640">
        <f>ROUND(E66/E69,1)</f>
        <v>1044.2</v>
      </c>
      <c r="F70" s="641">
        <f>ROUND(F66/F69,1)</f>
        <v>1049.9000000000001</v>
      </c>
    </row>
    <row r="71" spans="1:6" x14ac:dyDescent="0.25">
      <c r="A71" s="434" t="s">
        <v>468</v>
      </c>
      <c r="B71" s="376"/>
      <c r="C71" s="435">
        <v>3488.6</v>
      </c>
      <c r="D71" s="640">
        <v>3488.6</v>
      </c>
      <c r="E71" s="640">
        <v>3488.6</v>
      </c>
      <c r="F71" s="641">
        <v>3488.6</v>
      </c>
    </row>
    <row r="72" spans="1:6" x14ac:dyDescent="0.25">
      <c r="A72" s="434" t="s">
        <v>469</v>
      </c>
      <c r="B72" s="376"/>
      <c r="C72" s="435">
        <f>ROUND(C69*C71/1000,1)</f>
        <v>3601979.5</v>
      </c>
      <c r="D72" s="640">
        <f>ROUND(D69*D71/1000,1)</f>
        <v>3582094.5</v>
      </c>
      <c r="E72" s="640">
        <f>ROUND(E69*E71/1000,1)</f>
        <v>3561511.7</v>
      </c>
      <c r="F72" s="641">
        <f>ROUND(F69*F71/1000,1)</f>
        <v>3540580.1</v>
      </c>
    </row>
    <row r="73" spans="1:6" x14ac:dyDescent="0.25">
      <c r="A73" s="434" t="s">
        <v>470</v>
      </c>
      <c r="B73" s="376"/>
      <c r="C73" s="435" t="e">
        <f>ROUND((C72-C68-50510200/1000-9005190/1000),1)</f>
        <v>#REF!</v>
      </c>
      <c r="D73" s="640">
        <f>ROUND((D72-D68-D97/1000-(D102+D103)/1000),1)</f>
        <v>2508377</v>
      </c>
      <c r="E73" s="640">
        <f>ROUND((E72-E68-E97/1000-(E102+E103)/1000),1)</f>
        <v>2487384.9</v>
      </c>
      <c r="F73" s="640">
        <f>ROUND((F72-F68-F97/1000-(F102+F103)/1000),1)</f>
        <v>2466971.5</v>
      </c>
    </row>
    <row r="74" spans="1:6" x14ac:dyDescent="0.25">
      <c r="A74" s="434" t="s">
        <v>471</v>
      </c>
      <c r="B74" s="376"/>
      <c r="C74" s="435" t="e">
        <f>ROUND(C73/C72*100,1)</f>
        <v>#REF!</v>
      </c>
      <c r="D74" s="640">
        <f>ROUND(D73/D72*100,1)</f>
        <v>70</v>
      </c>
      <c r="E74" s="640">
        <f>ROUND(E73/E72*100,1)</f>
        <v>69.8</v>
      </c>
      <c r="F74" s="641">
        <f>ROUND(F73/F72*100,1)</f>
        <v>69.7</v>
      </c>
    </row>
    <row r="75" spans="1:6" x14ac:dyDescent="0.25">
      <c r="A75" s="434" t="s">
        <v>486</v>
      </c>
      <c r="B75" s="376"/>
      <c r="C75" s="435" t="e">
        <f>ROUND(C68/1000,1)</f>
        <v>#REF!</v>
      </c>
      <c r="D75" s="640">
        <f>ROUND(D68/1000,1)</f>
        <v>1065.5999999999999</v>
      </c>
      <c r="E75" s="640">
        <f>ROUND(E68/1000,1)</f>
        <v>1066</v>
      </c>
      <c r="F75" s="641">
        <f>ROUND(F68/1000,1)</f>
        <v>1065.5</v>
      </c>
    </row>
    <row r="76" spans="1:6" x14ac:dyDescent="0.25">
      <c r="A76" s="434" t="s">
        <v>487</v>
      </c>
      <c r="B76" s="376"/>
      <c r="C76" s="435" t="e">
        <f>C70</f>
        <v>#REF!</v>
      </c>
      <c r="D76" s="640">
        <f>D70</f>
        <v>1037.8</v>
      </c>
      <c r="E76" s="640">
        <f>E70</f>
        <v>1044.2</v>
      </c>
      <c r="F76" s="641">
        <f>F70</f>
        <v>1049.9000000000001</v>
      </c>
    </row>
    <row r="77" spans="1:6" x14ac:dyDescent="0.25">
      <c r="A77" s="434" t="s">
        <v>485</v>
      </c>
      <c r="B77" s="376"/>
      <c r="C77" s="435">
        <f>ROUND((C72-C97/1000-C102/1000-C103/1000)/1000,1)</f>
        <v>3542.5</v>
      </c>
      <c r="D77" s="640">
        <f>ROUND((D72-D97/1000-D102/1000-D103/1000)/1000,1)</f>
        <v>3574</v>
      </c>
      <c r="E77" s="640">
        <f>ROUND((E72-E97/1000-E102/1000-E103/1000)/1000,1)</f>
        <v>3553.4</v>
      </c>
      <c r="F77" s="641">
        <f>ROUND((F72-F97/1000-F102/1000-F103/1000)/1000,1)</f>
        <v>3532.5</v>
      </c>
    </row>
    <row r="78" spans="1:6" ht="15.75" thickBot="1" x14ac:dyDescent="0.3">
      <c r="A78" s="387" t="s">
        <v>488</v>
      </c>
      <c r="B78" s="388"/>
      <c r="C78" s="389">
        <f>ROUND((C71*C69-C97-C102-C103)/C69,1)</f>
        <v>3431</v>
      </c>
      <c r="D78" s="625">
        <f>ROUND((D71*D69-D97-D102-D103)/D69,1)</f>
        <v>3480.7</v>
      </c>
      <c r="E78" s="625">
        <f>ROUND((E71*E69-E97-E102-E103)/E69,1)</f>
        <v>3480.7</v>
      </c>
      <c r="F78" s="626">
        <f>ROUND((F71*F69-F97-F102-F103)/F69,1)</f>
        <v>3480.6</v>
      </c>
    </row>
    <row r="79" spans="1:6" x14ac:dyDescent="0.25">
      <c r="A79" s="440"/>
      <c r="B79" s="441"/>
      <c r="C79" s="439"/>
      <c r="D79" s="637"/>
      <c r="E79" s="637"/>
      <c r="F79" s="637"/>
    </row>
    <row r="80" spans="1:6" ht="15.75" thickBot="1" x14ac:dyDescent="0.3">
      <c r="A80" s="431"/>
      <c r="B80" s="432"/>
      <c r="C80" s="433"/>
      <c r="D80" s="642"/>
      <c r="E80" s="642"/>
      <c r="F80" s="642"/>
    </row>
    <row r="81" spans="1:6" ht="15.75" thickBot="1" x14ac:dyDescent="0.3">
      <c r="A81" s="1007" t="s">
        <v>472</v>
      </c>
      <c r="B81" s="1008"/>
      <c r="C81" s="1008"/>
      <c r="D81" s="1008"/>
      <c r="E81" s="1008"/>
      <c r="F81" s="1009"/>
    </row>
    <row r="82" spans="1:6" ht="45" x14ac:dyDescent="0.25">
      <c r="A82" s="400" t="str">
        <f>'таблица (всего)'!C176</f>
        <v xml:space="preserve">Подготовка населения и организаций к действиям в чрезвычайной ситуации в мирное и военное время
</v>
      </c>
      <c r="B82" s="393"/>
      <c r="C82" s="395">
        <f>'таблица (всего)'!F176</f>
        <v>503965</v>
      </c>
      <c r="D82" s="646">
        <f>'таблица (всего)'!G176</f>
        <v>503965</v>
      </c>
      <c r="E82" s="646">
        <f>'таблица (всего)'!H176</f>
        <v>503965</v>
      </c>
      <c r="F82" s="612">
        <f>'таблица (всего)'!I176</f>
        <v>503965</v>
      </c>
    </row>
    <row r="83" spans="1:6" ht="75" x14ac:dyDescent="0.25">
      <c r="A83" s="390" t="s">
        <v>473</v>
      </c>
      <c r="B83" s="377"/>
      <c r="C83" s="386">
        <f>'таблица (всего)'!F151</f>
        <v>339302.5</v>
      </c>
      <c r="D83" s="613">
        <f>'таблица (всего)'!G151</f>
        <v>339302.5</v>
      </c>
      <c r="E83" s="613">
        <f>'таблица (всего)'!H151</f>
        <v>339302.5</v>
      </c>
      <c r="F83" s="614">
        <f>'таблица (всего)'!I151</f>
        <v>339302.5</v>
      </c>
    </row>
    <row r="84" spans="1:6" ht="60" x14ac:dyDescent="0.25">
      <c r="A84" s="390" t="str">
        <f>'таблица (всего)'!C152</f>
        <v xml:space="preserve">Реализация основных профессиональных образовательных программ среднего профессионального медицинского образования - программ подготовки специалистов среднего звена
</v>
      </c>
      <c r="B84" s="377"/>
      <c r="C84" s="386">
        <f>'таблица (всего)'!F152</f>
        <v>42667502.5</v>
      </c>
      <c r="D84" s="613">
        <f>'таблица (всего)'!G152</f>
        <v>40235155.979999997</v>
      </c>
      <c r="E84" s="613">
        <f>'таблица (всего)'!H152</f>
        <v>40235155.979999997</v>
      </c>
      <c r="F84" s="614">
        <f>'таблица (всего)'!I152</f>
        <v>40235144.469999999</v>
      </c>
    </row>
    <row r="85" spans="1:6" x14ac:dyDescent="0.25">
      <c r="A85" s="390" t="str">
        <f>'таблица (всего)'!C154</f>
        <v>Предоставление жилых помещений в общежитиях</v>
      </c>
      <c r="B85" s="377"/>
      <c r="C85" s="386">
        <f>'таблица (всего)'!F154</f>
        <v>4932279</v>
      </c>
      <c r="D85" s="613">
        <f>'таблица (всего)'!G154</f>
        <v>3400443.76</v>
      </c>
      <c r="E85" s="613">
        <f>'таблица (всего)'!H154</f>
        <v>3400443.76</v>
      </c>
      <c r="F85" s="614">
        <f>'таблица (всего)'!I154</f>
        <v>3400444</v>
      </c>
    </row>
    <row r="86" spans="1:6" ht="45" x14ac:dyDescent="0.25">
      <c r="A86" s="390" t="str">
        <f>'таблица (всего)'!C153</f>
        <v xml:space="preserve">Предоставление стипендии студентам, обучающимся в областных государственных профессиональных образовательных организациях
</v>
      </c>
      <c r="B86" s="377"/>
      <c r="C86" s="386">
        <f>'таблица (всего)'!F153</f>
        <v>7172796</v>
      </c>
      <c r="D86" s="613">
        <f>'таблица (всего)'!G153</f>
        <v>8050644</v>
      </c>
      <c r="E86" s="613">
        <f>'таблица (всего)'!H153</f>
        <v>8050644</v>
      </c>
      <c r="F86" s="614">
        <f>'таблица (всего)'!I153</f>
        <v>8050644</v>
      </c>
    </row>
    <row r="87" spans="1:6" ht="60" x14ac:dyDescent="0.25">
      <c r="A87" s="390" t="str">
        <f>'таблица (всего)'!C159</f>
        <v xml:space="preserve">Реализация дополнительных профессиональных образовательных программ повышения квалификации и переподготовки кадров медицинских работников областных государственных учреждений здравоохранения
</v>
      </c>
      <c r="B87" s="377"/>
      <c r="C87" s="386">
        <f>'таблица (всего)'!F159</f>
        <v>8390920.6099999994</v>
      </c>
      <c r="D87" s="613">
        <f>'таблица (всего)'!G159</f>
        <v>6722720.1200000001</v>
      </c>
      <c r="E87" s="613">
        <f>'таблица (всего)'!H159</f>
        <v>6722720.1200000001</v>
      </c>
      <c r="F87" s="614">
        <f>'таблица (всего)'!I159</f>
        <v>6723229.7999999998</v>
      </c>
    </row>
    <row r="88" spans="1:6" ht="75" x14ac:dyDescent="0.25">
      <c r="A88" s="390" t="str">
        <f>'таблица (всего)'!C162</f>
        <v xml:space="preserve">Выплата единовременного денежного пособия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
</v>
      </c>
      <c r="B88" s="377"/>
      <c r="C88" s="386">
        <f>'таблица (всего)'!F162</f>
        <v>4000</v>
      </c>
      <c r="D88" s="613">
        <f>'таблица (всего)'!G162</f>
        <v>7500</v>
      </c>
      <c r="E88" s="613">
        <f>'таблица (всего)'!H162</f>
        <v>4500</v>
      </c>
      <c r="F88" s="614">
        <f>'таблица (всего)'!I162</f>
        <v>11000</v>
      </c>
    </row>
    <row r="89" spans="1:6" ht="75" x14ac:dyDescent="0.25">
      <c r="A89" s="390" t="str">
        <f>'таблица (всего)'!C163</f>
        <v xml:space="preserve">Выплата денежной компенсации выпускникам областных государственных профессиональных образовательных организаций - детям-сиротам и детям, оставшимся без попечения родителей, лицам из числа детей-сирот и детей, оставшихся без попечения родителей, для приобретения одежды, обуви, мягкого инвентаря и оборудования
</v>
      </c>
      <c r="B89" s="377"/>
      <c r="C89" s="386">
        <f>'таблица (всего)'!F163</f>
        <v>344848</v>
      </c>
      <c r="D89" s="613">
        <f>'таблица (всего)'!G163</f>
        <v>646590</v>
      </c>
      <c r="E89" s="613">
        <f>'таблица (всего)'!H163</f>
        <v>387954</v>
      </c>
      <c r="F89" s="614">
        <f>'таблица (всего)'!I163</f>
        <v>948332</v>
      </c>
    </row>
    <row r="90" spans="1:6" ht="75" x14ac:dyDescent="0.25">
      <c r="A90" s="390" t="str">
        <f>'таблица (всего)'!C164</f>
        <v>Предоставление полного государственного обеспечения и дополнительных гарантий по социальной поддержке детей-сирот и детей, оставшихся без попечения родителей, и лиц из числа детей-сирот и детей, оставшихся без попечения родителей,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</v>
      </c>
      <c r="B90" s="377"/>
      <c r="C90" s="386">
        <f>'таблица (всего)'!F164</f>
        <v>3395073</v>
      </c>
      <c r="D90" s="613">
        <f>'таблица (всего)'!G164</f>
        <v>3395073</v>
      </c>
      <c r="E90" s="613">
        <f>'таблица (всего)'!H164</f>
        <v>3395073</v>
      </c>
      <c r="F90" s="614">
        <f>'таблица (всего)'!I164</f>
        <v>3395073</v>
      </c>
    </row>
    <row r="91" spans="1:6" x14ac:dyDescent="0.25">
      <c r="A91" s="385" t="str">
        <f>'таблица (всего)'!C15</f>
        <v>Капитальный ремонт областных учреждений здравоохранения</v>
      </c>
      <c r="B91" s="377"/>
      <c r="C91" s="386">
        <f>'таблица (всего)'!F15</f>
        <v>15481400</v>
      </c>
      <c r="D91" s="613">
        <f>'таблица (всего)'!G15</f>
        <v>0</v>
      </c>
      <c r="E91" s="613">
        <f>'таблица (всего)'!H15</f>
        <v>0</v>
      </c>
      <c r="F91" s="614">
        <f>'таблица (всего)'!I15</f>
        <v>0</v>
      </c>
    </row>
    <row r="92" spans="1:6" x14ac:dyDescent="0.25">
      <c r="A92" s="385" t="str">
        <f>'таблица (всего)'!C16</f>
        <v>Приобретение оборудования областными учреждениями здравоохранения</v>
      </c>
      <c r="B92" s="377"/>
      <c r="C92" s="379" t="e">
        <f>43411400-#REF!</f>
        <v>#REF!</v>
      </c>
      <c r="D92" s="613">
        <v>0</v>
      </c>
      <c r="E92" s="613">
        <v>0</v>
      </c>
      <c r="F92" s="631">
        <v>0</v>
      </c>
    </row>
    <row r="93" spans="1:6" ht="35.25" customHeight="1" x14ac:dyDescent="0.25">
      <c r="A93" s="385" t="str">
        <f>'таблица (всего)'!C58</f>
        <v xml:space="preserve">Реализация отдельных мероприятий государственной программы Российской Федерации  «Развитие здравоохранения»
</v>
      </c>
      <c r="B93" s="377"/>
      <c r="C93" s="386">
        <f>'таблица (всего)'!F58</f>
        <v>13843200</v>
      </c>
      <c r="D93" s="613">
        <f>'таблица (всего)'!G58</f>
        <v>0</v>
      </c>
      <c r="E93" s="613">
        <f>'таблица (всего)'!H58</f>
        <v>0</v>
      </c>
      <c r="F93" s="614">
        <f>'таблица (всего)'!I58</f>
        <v>0</v>
      </c>
    </row>
    <row r="94" spans="1:6" ht="34.5" customHeight="1" x14ac:dyDescent="0.25">
      <c r="A94" s="391" t="str">
        <f>'таблица (всего)'!C66</f>
        <v>Реализация мероприятий по обеспечению лекарственными препаратами, диагностическими средствами при оказании специализированной, включая высокотехнологичную, медицинской помощи по прочим заболеваниям, а также мероприятий по профилактике этих заболеваний</v>
      </c>
      <c r="B94" s="377"/>
      <c r="C94" s="386"/>
      <c r="D94" s="613">
        <f>'таблица (всего)'!G66</f>
        <v>24389600</v>
      </c>
      <c r="E94" s="613">
        <f>'таблица (всего)'!H66</f>
        <v>22897100</v>
      </c>
      <c r="F94" s="613">
        <f>'таблица (всего)'!I66</f>
        <v>22399200</v>
      </c>
    </row>
    <row r="95" spans="1:6" ht="90" x14ac:dyDescent="0.25">
      <c r="A95" s="385" t="str">
        <f>'таблица (всего)'!C54</f>
        <v>Финансовое обеспечение закупок антибактериальных и противотуберкулёзных лекарственных препаратов (второго ряда), применяемых при лечении больных туберкулёзом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туберкулёза и мониторинга лечения больных туберкулёзом с множественной лекарственной устойчивостью возбудителя</v>
      </c>
      <c r="B95" s="377"/>
      <c r="C95" s="386">
        <f>'таблица (всего)'!F54</f>
        <v>9763500</v>
      </c>
      <c r="D95" s="613">
        <f>'таблица (всего)'!G54</f>
        <v>0</v>
      </c>
      <c r="E95" s="613">
        <f>'таблица (всего)'!H54</f>
        <v>0</v>
      </c>
      <c r="F95" s="614">
        <f>'таблица (всего)'!I54</f>
        <v>0</v>
      </c>
    </row>
    <row r="96" spans="1:6" ht="45" x14ac:dyDescent="0.25">
      <c r="A96" s="385" t="str">
        <f>'таблица (всего)'!C115</f>
        <v>Выплаты однократного выходного пособия при увольнении в связи с выходом на пенсию медицинским и иным работникам, непосредственно участвующим в оказании противотуберкулезной помощи</v>
      </c>
      <c r="B96" s="377"/>
      <c r="C96" s="386">
        <f>'таблица (всего)'!F115</f>
        <v>60000</v>
      </c>
      <c r="D96" s="613">
        <f>'таблица (всего)'!G115</f>
        <v>60000</v>
      </c>
      <c r="E96" s="613">
        <f>'таблица (всего)'!H115</f>
        <v>60000</v>
      </c>
      <c r="F96" s="614">
        <f>'таблица (всего)'!I115</f>
        <v>60000</v>
      </c>
    </row>
    <row r="97" spans="1:6" ht="45" x14ac:dyDescent="0.25">
      <c r="A97" s="385" t="str">
        <f>'таблица (всего)'!C72</f>
        <v>Иной межбюджетный трансферт бюджету территориального фонда обязательного медицинского страхования Ивановской области на финансовое обеспечение паллиативной медицинской помощи</v>
      </c>
      <c r="B97" s="377"/>
      <c r="C97" s="386">
        <f>'таблица (всего)'!F72</f>
        <v>50510200</v>
      </c>
      <c r="D97" s="613">
        <f>'таблица (всего)'!G72</f>
        <v>0</v>
      </c>
      <c r="E97" s="613">
        <f>'таблица (всего)'!H72</f>
        <v>0</v>
      </c>
      <c r="F97" s="614">
        <f>'таблица (всего)'!I72</f>
        <v>0</v>
      </c>
    </row>
    <row r="98" spans="1:6" ht="30" x14ac:dyDescent="0.25">
      <c r="A98" s="385" t="str">
        <f>'таблица (всего)'!C63</f>
        <v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v>
      </c>
      <c r="B98" s="377"/>
      <c r="C98" s="386">
        <f>'таблица (всего)'!F63</f>
        <v>178083300</v>
      </c>
      <c r="D98" s="613">
        <f>'таблица (всего)'!G63</f>
        <v>0</v>
      </c>
      <c r="E98" s="613">
        <f>'таблица (всего)'!H63</f>
        <v>0</v>
      </c>
      <c r="F98" s="614">
        <f>'таблица (всего)'!I63</f>
        <v>0</v>
      </c>
    </row>
    <row r="99" spans="1:6" x14ac:dyDescent="0.25">
      <c r="A99" s="385" t="str">
        <f>'таблица (всего)'!C64</f>
        <v>Реализация мероприятий по профилактике ВИЧ-инфекции и гепатитов B и C</v>
      </c>
      <c r="B99" s="377"/>
      <c r="C99" s="386">
        <f>'таблица (всего)'!F64</f>
        <v>2519100</v>
      </c>
      <c r="D99" s="613">
        <f>'таблица (всего)'!G64</f>
        <v>0</v>
      </c>
      <c r="E99" s="613">
        <f>'таблица (всего)'!H64</f>
        <v>0</v>
      </c>
      <c r="F99" s="614">
        <f>'таблица (всего)'!I64</f>
        <v>0</v>
      </c>
    </row>
    <row r="100" spans="1:6" ht="45" x14ac:dyDescent="0.25">
      <c r="A100" s="390" t="str">
        <f>'таблица (всего)'!C169</f>
        <v xml:space="preserve">Формирование доступной среды жизнедеятельности для инвалидов и других маломобильных групп населения в Ивановской области
</v>
      </c>
      <c r="B100" s="377"/>
      <c r="C100" s="386">
        <f>'таблица (всего)'!F169</f>
        <v>1500000</v>
      </c>
      <c r="D100" s="613">
        <f>'таблица (всего)'!G169</f>
        <v>0</v>
      </c>
      <c r="E100" s="613">
        <f>'таблица (всего)'!H169</f>
        <v>0</v>
      </c>
      <c r="F100" s="614">
        <f>'таблица (всего)'!I169</f>
        <v>0</v>
      </c>
    </row>
    <row r="101" spans="1:6" x14ac:dyDescent="0.25">
      <c r="A101" s="390" t="str">
        <f>'таблица (всего)'!C188</f>
        <v>Наказы избирателей</v>
      </c>
      <c r="B101" s="377"/>
      <c r="C101" s="379" t="e">
        <f>16300000-#REF!</f>
        <v>#REF!</v>
      </c>
      <c r="D101" s="613">
        <v>0</v>
      </c>
      <c r="E101" s="613">
        <v>0</v>
      </c>
      <c r="F101" s="631">
        <v>0</v>
      </c>
    </row>
    <row r="102" spans="1:6" ht="60" x14ac:dyDescent="0.25">
      <c r="A102" s="385" t="str">
        <f>'таблица (всего)'!C135</f>
        <v>Иной межбюджетный трансферт бюджету территориального фонда обязательного медицинского страхования Ивановской области на финансовое обеспечение мероприятий, направленных на проведение пренатальной (дородовой) диагностики нарушений развития ребенка у беременных женщин</v>
      </c>
      <c r="B102" s="377"/>
      <c r="C102" s="386">
        <f>'таблица (всего)'!F135</f>
        <v>6005190</v>
      </c>
      <c r="D102" s="613">
        <f>'таблица (всего)'!G135</f>
        <v>5404671</v>
      </c>
      <c r="E102" s="613">
        <f>'таблица (всего)'!H135</f>
        <v>5404671</v>
      </c>
      <c r="F102" s="614">
        <f>'таблица (всего)'!I135</f>
        <v>5404671</v>
      </c>
    </row>
    <row r="103" spans="1:6" ht="90" x14ac:dyDescent="0.25">
      <c r="A103" s="385" t="str">
        <f>'таблица (всего)'!C136</f>
        <v>Иной межбюджетный трансферт бюджету территориального фонда обязательного медицинского  страхования Ивановской области на финансовое обеспечение мероприятий, направленных на проведение неонатального скрининга на 5 наследственных и врожденных заболеваний в части исследований и консультаций, осуществляемых медико-генетическими центрами (консультациями), а также медико-генетических исследований в соответствующих структурных подразделениях медицинских организаций</v>
      </c>
      <c r="B103" s="377"/>
      <c r="C103" s="386">
        <f>'таблица (всего)'!F136</f>
        <v>3000000</v>
      </c>
      <c r="D103" s="613">
        <f>'таблица (всего)'!G136</f>
        <v>2700000</v>
      </c>
      <c r="E103" s="613">
        <f>'таблица (всего)'!H136</f>
        <v>2700000</v>
      </c>
      <c r="F103" s="614">
        <f>'таблица (всего)'!I136</f>
        <v>2700000</v>
      </c>
    </row>
    <row r="104" spans="1:6" ht="60" x14ac:dyDescent="0.25">
      <c r="A104" s="385" t="str">
        <f>'таблица (всего)'!C37</f>
        <v xml:space="preserve">Оказание отдельным категориям граждан государственной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</v>
      </c>
      <c r="B104" s="377"/>
      <c r="C104" s="386">
        <f>'таблица (всего)'!F37</f>
        <v>179279900</v>
      </c>
      <c r="D104" s="613">
        <f>'таблица (всего)'!G37</f>
        <v>0</v>
      </c>
      <c r="E104" s="613">
        <f>'таблица (всего)'!H37</f>
        <v>0</v>
      </c>
      <c r="F104" s="614">
        <f>'таблица (всего)'!I37</f>
        <v>0</v>
      </c>
    </row>
    <row r="105" spans="1:6" x14ac:dyDescent="0.25">
      <c r="A105" s="385" t="str">
        <f>'таблица (всего)'!C36</f>
        <v>Реализация отдельных полномочий в области лекарственного обеспечения</v>
      </c>
      <c r="B105" s="377"/>
      <c r="C105" s="386">
        <f>'таблица (всего)'!F36</f>
        <v>75859900</v>
      </c>
      <c r="D105" s="613">
        <f>'таблица (всего)'!G36</f>
        <v>64709800</v>
      </c>
      <c r="E105" s="613">
        <f>'таблица (всего)'!H36</f>
        <v>61397500</v>
      </c>
      <c r="F105" s="614">
        <f>'таблица (всего)'!I36</f>
        <v>60062800</v>
      </c>
    </row>
    <row r="106" spans="1:6" ht="75" x14ac:dyDescent="0.25">
      <c r="A106" s="390" t="s">
        <v>43</v>
      </c>
      <c r="B106" s="377"/>
      <c r="C106" s="386">
        <f>'таблица (всего)'!F35</f>
        <v>5607800</v>
      </c>
      <c r="D106" s="613">
        <f>'таблица (всего)'!G35</f>
        <v>0</v>
      </c>
      <c r="E106" s="613">
        <f>'таблица (всего)'!H35</f>
        <v>0</v>
      </c>
      <c r="F106" s="614">
        <f>'таблица (всего)'!I35</f>
        <v>0</v>
      </c>
    </row>
    <row r="107" spans="1:6" ht="60" x14ac:dyDescent="0.25">
      <c r="A107" s="385" t="str">
        <f>'таблица (всего)'!C126</f>
        <v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«Об основах охраны здоровья граждан в Российской Федерации» полномочий Российской Федерации в сфере охраны здоровья</v>
      </c>
      <c r="B107" s="377"/>
      <c r="C107" s="386">
        <f>'таблица (всего)'!F126</f>
        <v>1875700</v>
      </c>
      <c r="D107" s="613">
        <f>'таблица (всего)'!G126</f>
        <v>1980700</v>
      </c>
      <c r="E107" s="613">
        <f>'таблица (всего)'!H126</f>
        <v>1980700</v>
      </c>
      <c r="F107" s="614">
        <f>'таблица (всего)'!I126</f>
        <v>1980700</v>
      </c>
    </row>
    <row r="108" spans="1:6" ht="45" x14ac:dyDescent="0.25">
      <c r="A108" s="385" t="str">
        <f>'таблица (всего)'!C120</f>
        <v>Иной межбюджетный трансферт бюджету Федерального фонда обязательного медицинского страхования на обязательное медицинское страхование неработающего населения</v>
      </c>
      <c r="B108" s="377"/>
      <c r="C108" s="386">
        <f>'таблица (всего)'!F120</f>
        <v>3894508000</v>
      </c>
      <c r="D108" s="613">
        <f>'таблица (всего)'!G120</f>
        <v>0</v>
      </c>
      <c r="E108" s="613">
        <f>'таблица (всего)'!H120</f>
        <v>0</v>
      </c>
      <c r="F108" s="614">
        <f>'таблица (всего)'!I120</f>
        <v>0</v>
      </c>
    </row>
    <row r="109" spans="1:6" ht="45" x14ac:dyDescent="0.25">
      <c r="A109" s="390" t="str">
        <f>'таблица (всего)'!C180</f>
        <v xml:space="preserve">Обеспечение функций центральных исполнительных органов государственной власти Ивановской области
</v>
      </c>
      <c r="B109" s="377"/>
      <c r="C109" s="386">
        <f>'таблица (всего)'!F180</f>
        <v>37377585.719999999</v>
      </c>
      <c r="D109" s="613">
        <f>'таблица (всего)'!G180</f>
        <v>34939085.729999997</v>
      </c>
      <c r="E109" s="613">
        <f>'таблица (всего)'!H180</f>
        <v>34939085.729999997</v>
      </c>
      <c r="F109" s="614">
        <f>'таблица (всего)'!I180</f>
        <v>34939085.729999997</v>
      </c>
    </row>
    <row r="110" spans="1:6" ht="75" x14ac:dyDescent="0.25">
      <c r="A110" s="438" t="str">
        <f>'таблица (всего)'!C142</f>
        <v>Единовременные компенсационные выплаты медицинским работникам в возрасте до 45 лет, имеющим высшее образование, прибывшим в 2015 году на работу в сельский населенный пункт либо рабочий поселок Ивановской области или переехавшим на работу в сельский населенный пунк либо рабочий поселок Ивановской области из другого населенного пункта</v>
      </c>
      <c r="B110" s="377"/>
      <c r="C110" s="386">
        <f>'таблица (всего)'!F142</f>
        <v>400000</v>
      </c>
      <c r="D110" s="613">
        <f>'таблица (всего)'!G142</f>
        <v>0</v>
      </c>
      <c r="E110" s="613">
        <f>'таблица (всего)'!H142</f>
        <v>0</v>
      </c>
      <c r="F110" s="614">
        <f>'таблица (всего)'!I142</f>
        <v>0</v>
      </c>
    </row>
    <row r="111" spans="1:6" ht="30" x14ac:dyDescent="0.25">
      <c r="A111" s="390" t="str">
        <f>'таблица (всего)'!C143</f>
        <v xml:space="preserve">Осуществление единовременных выплат медицинским работникам
</v>
      </c>
      <c r="B111" s="377"/>
      <c r="C111" s="386">
        <f>'таблица (всего)'!F143</f>
        <v>600000</v>
      </c>
      <c r="D111" s="613">
        <f>'таблица (всего)'!G143</f>
        <v>0</v>
      </c>
      <c r="E111" s="613">
        <f>'таблица (всего)'!H143</f>
        <v>0</v>
      </c>
      <c r="F111" s="614">
        <f>'таблица (всего)'!I143</f>
        <v>0</v>
      </c>
    </row>
    <row r="112" spans="1:6" ht="60" x14ac:dyDescent="0.25">
      <c r="A112" s="390" t="str">
        <f>'таблица (всего)'!C156</f>
        <v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v>
      </c>
      <c r="B112" s="377"/>
      <c r="C112" s="386">
        <f>'таблица (всего)'!F156</f>
        <v>80000</v>
      </c>
      <c r="D112" s="613">
        <f>'таблица (всего)'!G156</f>
        <v>0</v>
      </c>
      <c r="E112" s="613">
        <f>'таблица (всего)'!H156</f>
        <v>0</v>
      </c>
      <c r="F112" s="614">
        <f>'таблица (всего)'!I156</f>
        <v>0</v>
      </c>
    </row>
    <row r="113" spans="1:6" ht="31.5" customHeight="1" x14ac:dyDescent="0.25">
      <c r="A113" s="385" t="str">
        <f>'таблица (всего)'!C195</f>
        <v>Единовременные компенсационные выплаты медицинским работникам в рамках исполнения судебных решений</v>
      </c>
      <c r="B113" s="377"/>
      <c r="C113" s="386">
        <f>'таблица (всего)'!F195</f>
        <v>500000</v>
      </c>
      <c r="D113" s="613">
        <f>'таблица (всего)'!G195</f>
        <v>0</v>
      </c>
      <c r="E113" s="613">
        <f>'таблица (всего)'!H195</f>
        <v>0</v>
      </c>
      <c r="F113" s="614">
        <f>'таблица (всего)'!I195</f>
        <v>0</v>
      </c>
    </row>
    <row r="114" spans="1:6" x14ac:dyDescent="0.25">
      <c r="A114" s="390" t="s">
        <v>503</v>
      </c>
      <c r="B114" s="377"/>
      <c r="C114" s="386" t="e">
        <f>C82+C83+C84+C85+C86+C87+C88+C89+C90+C91+C92+C93+C95+C96+C97+C98+C99+C100+C101+C102+C103+C104+C105+C106+C107+C108+C109+C110+C111+C112+C113</f>
        <v>#REF!</v>
      </c>
      <c r="D114" s="613">
        <f>D82+D83+D84+D85+D86+D87+D88+D89+D90+D91+D92+D93+D94+D95+D96+D97+D98+D99+D100+D101+D102+D103+D104+D105+D106+D107+D108+D109+D110+D111+D112+D113</f>
        <v>197485251.08999997</v>
      </c>
      <c r="E114" s="613">
        <f>E82+E83+E84+E85+E86+E87+E88+E89+E90+E91+E92+E93+E94+E95+E96+E97+E98+E99+E100+E101+E102+E103+E104+E105+E106+E107+E108+E109+E110+E111+E112+E113</f>
        <v>192418815.08999997</v>
      </c>
      <c r="F114" s="613">
        <f>F82+F83+F84+F85+F86+F87+F88+F89+F90+F91+F92+F93+F94+F95+F96+F97+F98+F99+F100+F101+F102+F103+F104+F105+F106+F107+F108+F109+F110+F111+F112+F113</f>
        <v>191153591.49999997</v>
      </c>
    </row>
    <row r="115" spans="1:6" ht="15.75" thickBot="1" x14ac:dyDescent="0.3">
      <c r="A115" s="427" t="s">
        <v>474</v>
      </c>
      <c r="B115" s="428"/>
      <c r="C115" s="430" t="e">
        <f>C66</f>
        <v>#REF!</v>
      </c>
      <c r="D115" s="632">
        <f>D66</f>
        <v>1065612825.4599999</v>
      </c>
      <c r="E115" s="632">
        <f>E66</f>
        <v>1066022071.3499999</v>
      </c>
      <c r="F115" s="645">
        <f>F66</f>
        <v>1065503937.8</v>
      </c>
    </row>
    <row r="116" spans="1:6" ht="15.75" thickBot="1" x14ac:dyDescent="0.3">
      <c r="A116" s="425" t="s">
        <v>475</v>
      </c>
      <c r="B116" s="437"/>
      <c r="C116" s="426" t="e">
        <f>C114+#REF!+C115</f>
        <v>#REF!</v>
      </c>
      <c r="D116" s="647">
        <f>D114+D115</f>
        <v>1263098076.55</v>
      </c>
      <c r="E116" s="647">
        <f>E114+E115</f>
        <v>1258440886.4399998</v>
      </c>
      <c r="F116" s="647">
        <f>F114+F115</f>
        <v>1256657529.3</v>
      </c>
    </row>
    <row r="117" spans="1:6" x14ac:dyDescent="0.25">
      <c r="C117" s="436">
        <f>'таблица (всего)'!F200</f>
        <v>5725077941.8100004</v>
      </c>
      <c r="D117" s="643">
        <f>'таблица (всего)'!G200</f>
        <v>5209905934.789999</v>
      </c>
      <c r="E117" s="643">
        <f>'таблица (всего)'!H200</f>
        <v>5205101134.789999</v>
      </c>
      <c r="F117" s="643">
        <f>'таблица (всего)'!I200</f>
        <v>5203268534.79</v>
      </c>
    </row>
    <row r="118" spans="1:6" x14ac:dyDescent="0.25">
      <c r="C118" s="436" t="e">
        <f>C116-C117</f>
        <v>#REF!</v>
      </c>
      <c r="D118" s="643">
        <f>D116-D117</f>
        <v>-3946807858.2399988</v>
      </c>
      <c r="E118" s="643">
        <f>E116-E117</f>
        <v>-3946660248.3499994</v>
      </c>
      <c r="F118" s="643">
        <f>F116-F117</f>
        <v>-3946611005.4899998</v>
      </c>
    </row>
  </sheetData>
  <mergeCells count="1">
    <mergeCell ref="A81:F8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7"/>
  <sheetViews>
    <sheetView zoomScale="90" zoomScaleNormal="90" workbookViewId="0">
      <selection activeCell="H11" sqref="H11"/>
    </sheetView>
  </sheetViews>
  <sheetFormatPr defaultRowHeight="15" x14ac:dyDescent="0.25"/>
  <cols>
    <col min="1" max="1" width="4.7109375" style="76" customWidth="1"/>
    <col min="2" max="2" width="40.42578125" style="232" customWidth="1"/>
    <col min="3" max="3" width="16.140625" style="76" customWidth="1"/>
    <col min="4" max="5" width="16" style="76" hidden="1" customWidth="1"/>
    <col min="6" max="8" width="16" style="77" customWidth="1"/>
    <col min="9" max="10" width="16" customWidth="1"/>
  </cols>
  <sheetData>
    <row r="1" spans="1:17" ht="84.75" customHeight="1" x14ac:dyDescent="0.25">
      <c r="I1" s="1011" t="s">
        <v>169</v>
      </c>
      <c r="J1" s="1011"/>
    </row>
    <row r="2" spans="1:17" ht="18.75" customHeight="1" x14ac:dyDescent="0.25">
      <c r="A2" s="1012" t="s">
        <v>170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3">
      <c r="A3" s="1013" t="s">
        <v>171</v>
      </c>
      <c r="B3" s="1013"/>
      <c r="C3" s="1013"/>
      <c r="D3" s="1013"/>
      <c r="E3" s="1013"/>
      <c r="F3" s="1013"/>
      <c r="G3" s="1013"/>
      <c r="H3" s="1013"/>
      <c r="I3" s="1013"/>
      <c r="J3" s="1013"/>
    </row>
    <row r="4" spans="1:17" ht="18.75" x14ac:dyDescent="0.3">
      <c r="A4" s="78"/>
      <c r="B4" s="233"/>
      <c r="C4" s="78"/>
      <c r="D4" s="156"/>
      <c r="E4" s="156"/>
      <c r="F4" s="78"/>
      <c r="G4" s="78"/>
      <c r="J4" s="79" t="s">
        <v>172</v>
      </c>
    </row>
    <row r="5" spans="1:17" ht="25.5" x14ac:dyDescent="0.25">
      <c r="A5" s="223" t="s">
        <v>245</v>
      </c>
      <c r="B5" s="224" t="s">
        <v>223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6" t="s">
        <v>224</v>
      </c>
      <c r="C6" s="225"/>
      <c r="D6" s="227">
        <f>D7</f>
        <v>477677444</v>
      </c>
      <c r="E6" s="227">
        <f t="shared" ref="E6:J6" si="0">E7</f>
        <v>69009464.170000002</v>
      </c>
      <c r="F6" s="313">
        <f t="shared" si="0"/>
        <v>55592475.07</v>
      </c>
      <c r="G6" s="313">
        <f t="shared" si="0"/>
        <v>0</v>
      </c>
      <c r="H6" s="313">
        <f t="shared" si="0"/>
        <v>0</v>
      </c>
      <c r="I6" s="313">
        <f t="shared" si="0"/>
        <v>0</v>
      </c>
      <c r="J6" s="313">
        <f t="shared" si="0"/>
        <v>0</v>
      </c>
      <c r="K6" s="222">
        <f>D6-'таблица (всего)'!D13</f>
        <v>0</v>
      </c>
      <c r="L6" s="222">
        <f>E6-'таблица (всего)'!E13</f>
        <v>0</v>
      </c>
      <c r="M6" s="222">
        <f>F6-'таблица (всего)'!F13</f>
        <v>0</v>
      </c>
      <c r="N6" s="222">
        <f>G6-'таблица (всего)'!G13</f>
        <v>0</v>
      </c>
      <c r="O6" s="222">
        <f>H6-'таблица (всего)'!H13</f>
        <v>0</v>
      </c>
      <c r="P6" s="222">
        <f>I6-'таблица (всего)'!I13</f>
        <v>0</v>
      </c>
      <c r="Q6" s="222">
        <f>J6-'таблица (всего)'!J13</f>
        <v>0</v>
      </c>
    </row>
    <row r="7" spans="1:17" x14ac:dyDescent="0.25">
      <c r="A7" s="225"/>
      <c r="B7" s="226" t="s">
        <v>176</v>
      </c>
      <c r="C7" s="1010"/>
      <c r="D7" s="227">
        <f>D8+D9</f>
        <v>477677444</v>
      </c>
      <c r="E7" s="227">
        <f t="shared" ref="E7:J7" si="1">E8+E9</f>
        <v>69009464.170000002</v>
      </c>
      <c r="F7" s="313">
        <f t="shared" si="1"/>
        <v>55592475.07</v>
      </c>
      <c r="G7" s="313">
        <f t="shared" si="1"/>
        <v>0</v>
      </c>
      <c r="H7" s="313">
        <f t="shared" si="1"/>
        <v>0</v>
      </c>
      <c r="I7" s="313">
        <f t="shared" si="1"/>
        <v>0</v>
      </c>
      <c r="J7" s="313">
        <f t="shared" si="1"/>
        <v>0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5"/>
      <c r="B8" s="226" t="s">
        <v>177</v>
      </c>
      <c r="C8" s="1010"/>
      <c r="D8" s="227">
        <f>D12</f>
        <v>145814044</v>
      </c>
      <c r="E8" s="227">
        <f t="shared" ref="E8:J8" si="2">E12</f>
        <v>69009464.170000002</v>
      </c>
      <c r="F8" s="313">
        <f t="shared" si="2"/>
        <v>55592475.07</v>
      </c>
      <c r="G8" s="313">
        <f t="shared" si="2"/>
        <v>0</v>
      </c>
      <c r="H8" s="313">
        <f t="shared" si="2"/>
        <v>0</v>
      </c>
      <c r="I8" s="313">
        <f t="shared" si="2"/>
        <v>0</v>
      </c>
      <c r="J8" s="313">
        <f t="shared" si="2"/>
        <v>0</v>
      </c>
      <c r="K8" s="222">
        <f>D8-'таблица (всего)'!D12</f>
        <v>0</v>
      </c>
      <c r="L8" s="222">
        <f>E8-'таблица (всего)'!E12</f>
        <v>0</v>
      </c>
      <c r="M8" s="222">
        <f>F8-'таблица (всего)'!F12</f>
        <v>0</v>
      </c>
      <c r="N8" s="222">
        <f>G8-'таблица (всего)'!G12</f>
        <v>0</v>
      </c>
      <c r="O8" s="222">
        <f>H8-'таблица (всего)'!H12</f>
        <v>0</v>
      </c>
      <c r="P8" s="222">
        <f>I8-'таблица (всего)'!I12</f>
        <v>0</v>
      </c>
      <c r="Q8" s="222">
        <f>J8-'таблица (всего)'!J12</f>
        <v>0</v>
      </c>
    </row>
    <row r="9" spans="1:17" x14ac:dyDescent="0.25">
      <c r="A9" s="225"/>
      <c r="B9" s="226" t="s">
        <v>178</v>
      </c>
      <c r="C9" s="1010"/>
      <c r="D9" s="227">
        <f>D13</f>
        <v>331863400</v>
      </c>
      <c r="E9" s="227">
        <f t="shared" ref="E9:J9" si="3">E13</f>
        <v>0</v>
      </c>
      <c r="F9" s="313">
        <f t="shared" si="3"/>
        <v>0</v>
      </c>
      <c r="G9" s="313">
        <f t="shared" si="3"/>
        <v>0</v>
      </c>
      <c r="H9" s="313">
        <f t="shared" si="3"/>
        <v>0</v>
      </c>
      <c r="I9" s="313">
        <f t="shared" si="3"/>
        <v>0</v>
      </c>
      <c r="J9" s="313">
        <f t="shared" si="3"/>
        <v>0</v>
      </c>
      <c r="K9" s="222">
        <f>D9-'таблица (всего)'!D11</f>
        <v>0</v>
      </c>
      <c r="L9" s="222">
        <f>E9-'таблица (всего)'!E11</f>
        <v>0</v>
      </c>
      <c r="M9" s="222">
        <f>F9-'таблица (всего)'!F11</f>
        <v>0</v>
      </c>
      <c r="N9" s="222">
        <f>G9-'таблица (всего)'!G11</f>
        <v>0</v>
      </c>
      <c r="O9" s="222">
        <f>H9-'таблица (всего)'!H11</f>
        <v>0</v>
      </c>
      <c r="P9" s="222">
        <f>I9-'таблица (всего)'!I11</f>
        <v>0</v>
      </c>
      <c r="Q9" s="222">
        <f>J9-'таблица (всего)'!J11</f>
        <v>0</v>
      </c>
    </row>
    <row r="10" spans="1:17" ht="51" x14ac:dyDescent="0.25">
      <c r="A10" s="225" t="s">
        <v>228</v>
      </c>
      <c r="B10" s="229" t="str">
        <f>'таблица (всего)'!C13</f>
        <v>«Укрепление материально-технической базы областных учреждений здравоохранения»</v>
      </c>
      <c r="C10" s="225" t="s">
        <v>180</v>
      </c>
      <c r="D10" s="227">
        <f>D11</f>
        <v>477677444</v>
      </c>
      <c r="E10" s="227">
        <f t="shared" ref="E10:J10" si="4">E11</f>
        <v>69009464.170000002</v>
      </c>
      <c r="F10" s="313">
        <f t="shared" si="4"/>
        <v>55592475.07</v>
      </c>
      <c r="G10" s="313">
        <f t="shared" si="4"/>
        <v>0</v>
      </c>
      <c r="H10" s="313">
        <f t="shared" si="4"/>
        <v>0</v>
      </c>
      <c r="I10" s="313">
        <f t="shared" si="4"/>
        <v>0</v>
      </c>
      <c r="J10" s="313">
        <f t="shared" si="4"/>
        <v>0</v>
      </c>
    </row>
    <row r="11" spans="1:17" x14ac:dyDescent="0.25">
      <c r="A11" s="225"/>
      <c r="B11" s="226" t="s">
        <v>176</v>
      </c>
      <c r="C11" s="1010"/>
      <c r="D11" s="227">
        <f>D12+D13</f>
        <v>477677444</v>
      </c>
      <c r="E11" s="227">
        <f t="shared" ref="E11:J11" si="5">E12+E13</f>
        <v>69009464.170000002</v>
      </c>
      <c r="F11" s="313">
        <f t="shared" si="5"/>
        <v>55592475.07</v>
      </c>
      <c r="G11" s="313">
        <f t="shared" si="5"/>
        <v>0</v>
      </c>
      <c r="H11" s="313">
        <f t="shared" si="5"/>
        <v>0</v>
      </c>
      <c r="I11" s="313">
        <f t="shared" si="5"/>
        <v>0</v>
      </c>
      <c r="J11" s="313">
        <f t="shared" si="5"/>
        <v>0</v>
      </c>
    </row>
    <row r="12" spans="1:17" x14ac:dyDescent="0.25">
      <c r="A12" s="225"/>
      <c r="B12" s="226" t="s">
        <v>177</v>
      </c>
      <c r="C12" s="1010"/>
      <c r="D12" s="227">
        <f t="shared" ref="D12:J12" si="6">D20+D24+D28+D32+D36+D48+D52+D56</f>
        <v>145814044</v>
      </c>
      <c r="E12" s="227">
        <f t="shared" si="6"/>
        <v>69009464.170000002</v>
      </c>
      <c r="F12" s="313">
        <f t="shared" si="6"/>
        <v>55592475.07</v>
      </c>
      <c r="G12" s="313">
        <f t="shared" si="6"/>
        <v>0</v>
      </c>
      <c r="H12" s="313">
        <f t="shared" si="6"/>
        <v>0</v>
      </c>
      <c r="I12" s="313">
        <f t="shared" si="6"/>
        <v>0</v>
      </c>
      <c r="J12" s="313">
        <f t="shared" si="6"/>
        <v>0</v>
      </c>
    </row>
    <row r="13" spans="1:17" x14ac:dyDescent="0.25">
      <c r="A13" s="225"/>
      <c r="B13" s="226" t="s">
        <v>178</v>
      </c>
      <c r="C13" s="1010"/>
      <c r="D13" s="227">
        <f t="shared" ref="D13:J13" si="7">D41+D45</f>
        <v>331863400</v>
      </c>
      <c r="E13" s="227">
        <f t="shared" si="7"/>
        <v>0</v>
      </c>
      <c r="F13" s="313">
        <f t="shared" si="7"/>
        <v>0</v>
      </c>
      <c r="G13" s="313">
        <f t="shared" si="7"/>
        <v>0</v>
      </c>
      <c r="H13" s="313">
        <f t="shared" si="7"/>
        <v>0</v>
      </c>
      <c r="I13" s="313">
        <f t="shared" si="7"/>
        <v>0</v>
      </c>
      <c r="J13" s="313">
        <f t="shared" si="7"/>
        <v>0</v>
      </c>
    </row>
    <row r="14" spans="1:17" ht="51" hidden="1" x14ac:dyDescent="0.25">
      <c r="A14" s="230" t="s">
        <v>234</v>
      </c>
      <c r="B14" s="229" t="str">
        <f>'таблица (всего)'!C14</f>
        <v>Разработка проектно-сметной документации на капитальный ремонт областных учреждений здравоохранения</v>
      </c>
      <c r="C14" s="225" t="s">
        <v>180</v>
      </c>
      <c r="D14" s="228" t="s">
        <v>227</v>
      </c>
      <c r="E14" s="228" t="s">
        <v>227</v>
      </c>
      <c r="F14" s="313">
        <v>0</v>
      </c>
      <c r="G14" s="313">
        <v>0</v>
      </c>
      <c r="H14" s="313">
        <v>0</v>
      </c>
      <c r="I14" s="313">
        <v>0</v>
      </c>
      <c r="J14" s="313">
        <v>0</v>
      </c>
    </row>
    <row r="15" spans="1:17" hidden="1" x14ac:dyDescent="0.25">
      <c r="A15" s="225"/>
      <c r="B15" s="226" t="s">
        <v>176</v>
      </c>
      <c r="C15" s="1010"/>
      <c r="D15" s="228" t="s">
        <v>227</v>
      </c>
      <c r="E15" s="228" t="s">
        <v>227</v>
      </c>
      <c r="F15" s="313">
        <v>0</v>
      </c>
      <c r="G15" s="313">
        <v>0</v>
      </c>
      <c r="H15" s="313">
        <v>0</v>
      </c>
      <c r="I15" s="313">
        <v>0</v>
      </c>
      <c r="J15" s="313">
        <v>0</v>
      </c>
    </row>
    <row r="16" spans="1:17" hidden="1" x14ac:dyDescent="0.25">
      <c r="A16" s="225"/>
      <c r="B16" s="226" t="s">
        <v>177</v>
      </c>
      <c r="C16" s="1010"/>
      <c r="D16" s="228" t="s">
        <v>227</v>
      </c>
      <c r="E16" s="228" t="s">
        <v>227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</row>
    <row r="17" spans="1:10" hidden="1" x14ac:dyDescent="0.25">
      <c r="A17" s="225"/>
      <c r="B17" s="226" t="s">
        <v>178</v>
      </c>
      <c r="C17" s="1010"/>
      <c r="D17" s="228" t="s">
        <v>227</v>
      </c>
      <c r="E17" s="228" t="s">
        <v>227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</row>
    <row r="18" spans="1:10" ht="51" x14ac:dyDescent="0.25">
      <c r="A18" s="230" t="s">
        <v>235</v>
      </c>
      <c r="B18" s="229" t="str">
        <f>'таблица (всего)'!C15</f>
        <v>Капитальный ремонт областных учреждений здравоохранения</v>
      </c>
      <c r="C18" s="225" t="s">
        <v>180</v>
      </c>
      <c r="D18" s="227">
        <f>D19</f>
        <v>98092144</v>
      </c>
      <c r="E18" s="227">
        <f t="shared" ref="E18:J19" si="8">E19</f>
        <v>43073564.170000002</v>
      </c>
      <c r="F18" s="313">
        <f t="shared" si="8"/>
        <v>15481400</v>
      </c>
      <c r="G18" s="313">
        <f t="shared" si="8"/>
        <v>0</v>
      </c>
      <c r="H18" s="313">
        <f t="shared" si="8"/>
        <v>0</v>
      </c>
      <c r="I18" s="313">
        <f t="shared" si="8"/>
        <v>0</v>
      </c>
      <c r="J18" s="313">
        <f t="shared" si="8"/>
        <v>0</v>
      </c>
    </row>
    <row r="19" spans="1:10" x14ac:dyDescent="0.25">
      <c r="A19" s="225"/>
      <c r="B19" s="226" t="s">
        <v>176</v>
      </c>
      <c r="C19" s="1010"/>
      <c r="D19" s="227">
        <f>D20</f>
        <v>98092144</v>
      </c>
      <c r="E19" s="227">
        <f t="shared" si="8"/>
        <v>43073564.170000002</v>
      </c>
      <c r="F19" s="313">
        <f t="shared" si="8"/>
        <v>15481400</v>
      </c>
      <c r="G19" s="313">
        <f t="shared" si="8"/>
        <v>0</v>
      </c>
      <c r="H19" s="313">
        <f t="shared" si="8"/>
        <v>0</v>
      </c>
      <c r="I19" s="313">
        <f t="shared" si="8"/>
        <v>0</v>
      </c>
      <c r="J19" s="313">
        <f t="shared" si="8"/>
        <v>0</v>
      </c>
    </row>
    <row r="20" spans="1:10" x14ac:dyDescent="0.25">
      <c r="A20" s="225"/>
      <c r="B20" s="226" t="s">
        <v>177</v>
      </c>
      <c r="C20" s="1010"/>
      <c r="D20" s="227">
        <f>'таблица (всего)'!D15</f>
        <v>98092144</v>
      </c>
      <c r="E20" s="227">
        <f>'таблица (всего)'!E15</f>
        <v>43073564.170000002</v>
      </c>
      <c r="F20" s="313">
        <f>'таблица (всего)'!F15</f>
        <v>15481400</v>
      </c>
      <c r="G20" s="313">
        <f>'таблица (всего)'!G15</f>
        <v>0</v>
      </c>
      <c r="H20" s="313">
        <f>'таблица (всего)'!H15</f>
        <v>0</v>
      </c>
      <c r="I20" s="313">
        <f>'таблица (всего)'!I15</f>
        <v>0</v>
      </c>
      <c r="J20" s="313">
        <f>'таблица (всего)'!J15</f>
        <v>0</v>
      </c>
    </row>
    <row r="21" spans="1:10" x14ac:dyDescent="0.25">
      <c r="A21" s="225"/>
      <c r="B21" s="226" t="s">
        <v>178</v>
      </c>
      <c r="C21" s="1010"/>
      <c r="D21" s="228" t="s">
        <v>227</v>
      </c>
      <c r="E21" s="228" t="s">
        <v>227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</row>
    <row r="22" spans="1:10" ht="51" x14ac:dyDescent="0.25">
      <c r="A22" s="230" t="s">
        <v>246</v>
      </c>
      <c r="B22" s="229" t="str">
        <f>'таблица (всего)'!C16</f>
        <v>Приобретение оборудования областными учреждениями здравоохранения</v>
      </c>
      <c r="C22" s="225" t="s">
        <v>180</v>
      </c>
      <c r="D22" s="227">
        <f>D23</f>
        <v>23494200</v>
      </c>
      <c r="E22" s="227">
        <f t="shared" ref="E22:J23" si="9">E23</f>
        <v>21735900</v>
      </c>
      <c r="F22" s="313">
        <f t="shared" si="9"/>
        <v>40111075.07</v>
      </c>
      <c r="G22" s="313">
        <f t="shared" si="9"/>
        <v>0</v>
      </c>
      <c r="H22" s="313">
        <f t="shared" si="9"/>
        <v>0</v>
      </c>
      <c r="I22" s="313">
        <f t="shared" si="9"/>
        <v>0</v>
      </c>
      <c r="J22" s="313">
        <f t="shared" si="9"/>
        <v>0</v>
      </c>
    </row>
    <row r="23" spans="1:10" x14ac:dyDescent="0.25">
      <c r="A23" s="225"/>
      <c r="B23" s="226" t="s">
        <v>176</v>
      </c>
      <c r="C23" s="1010"/>
      <c r="D23" s="227">
        <f>D24</f>
        <v>23494200</v>
      </c>
      <c r="E23" s="227">
        <f t="shared" si="9"/>
        <v>21735900</v>
      </c>
      <c r="F23" s="313">
        <f t="shared" si="9"/>
        <v>40111075.07</v>
      </c>
      <c r="G23" s="313">
        <f t="shared" si="9"/>
        <v>0</v>
      </c>
      <c r="H23" s="313">
        <f t="shared" si="9"/>
        <v>0</v>
      </c>
      <c r="I23" s="313">
        <f t="shared" si="9"/>
        <v>0</v>
      </c>
      <c r="J23" s="313">
        <f t="shared" si="9"/>
        <v>0</v>
      </c>
    </row>
    <row r="24" spans="1:10" x14ac:dyDescent="0.25">
      <c r="A24" s="225"/>
      <c r="B24" s="226" t="s">
        <v>177</v>
      </c>
      <c r="C24" s="1010"/>
      <c r="D24" s="227">
        <f>'таблица (всего)'!D16</f>
        <v>23494200</v>
      </c>
      <c r="E24" s="227">
        <f>'таблица (всего)'!E16</f>
        <v>21735900</v>
      </c>
      <c r="F24" s="313">
        <f>'таблица (всего)'!F16</f>
        <v>40111075.07</v>
      </c>
      <c r="G24" s="313">
        <f>'таблица (всего)'!G16</f>
        <v>0</v>
      </c>
      <c r="H24" s="313">
        <f>'таблица (всего)'!H16</f>
        <v>0</v>
      </c>
      <c r="I24" s="313">
        <f>'таблица (всего)'!I16</f>
        <v>0</v>
      </c>
      <c r="J24" s="313">
        <f>'таблица (всего)'!J16</f>
        <v>0</v>
      </c>
    </row>
    <row r="25" spans="1:10" x14ac:dyDescent="0.25">
      <c r="A25" s="225"/>
      <c r="B25" s="226" t="s">
        <v>178</v>
      </c>
      <c r="C25" s="1010"/>
      <c r="D25" s="228" t="s">
        <v>227</v>
      </c>
      <c r="E25" s="228" t="s">
        <v>227</v>
      </c>
      <c r="F25" s="313">
        <v>0</v>
      </c>
      <c r="G25" s="313">
        <v>0</v>
      </c>
      <c r="H25" s="313">
        <v>0</v>
      </c>
      <c r="I25" s="313">
        <v>0</v>
      </c>
      <c r="J25" s="313">
        <v>0</v>
      </c>
    </row>
    <row r="26" spans="1:10" ht="51" hidden="1" x14ac:dyDescent="0.25">
      <c r="A26" s="230" t="s">
        <v>247</v>
      </c>
      <c r="B26" s="229" t="str">
        <f>'таблица (всего)'!C17</f>
        <v xml:space="preserve">Приобретение автомобилей скорой медицинской помощи </v>
      </c>
      <c r="C26" s="225" t="s">
        <v>180</v>
      </c>
      <c r="D26" s="227">
        <f>D27</f>
        <v>9940800</v>
      </c>
      <c r="E26" s="227">
        <f t="shared" ref="E26:J27" si="10">E27</f>
        <v>0</v>
      </c>
      <c r="F26" s="227">
        <f t="shared" si="10"/>
        <v>0</v>
      </c>
      <c r="G26" s="227">
        <f t="shared" si="10"/>
        <v>0</v>
      </c>
      <c r="H26" s="227">
        <f t="shared" si="10"/>
        <v>0</v>
      </c>
      <c r="I26" s="227">
        <f t="shared" si="10"/>
        <v>0</v>
      </c>
      <c r="J26" s="227">
        <f t="shared" si="10"/>
        <v>0</v>
      </c>
    </row>
    <row r="27" spans="1:10" hidden="1" x14ac:dyDescent="0.25">
      <c r="A27" s="225"/>
      <c r="B27" s="226" t="s">
        <v>176</v>
      </c>
      <c r="C27" s="1010"/>
      <c r="D27" s="227">
        <f>D28</f>
        <v>9940800</v>
      </c>
      <c r="E27" s="227">
        <f t="shared" si="10"/>
        <v>0</v>
      </c>
      <c r="F27" s="227">
        <f t="shared" si="10"/>
        <v>0</v>
      </c>
      <c r="G27" s="227">
        <f t="shared" si="10"/>
        <v>0</v>
      </c>
      <c r="H27" s="227">
        <f t="shared" si="10"/>
        <v>0</v>
      </c>
      <c r="I27" s="227">
        <f t="shared" si="10"/>
        <v>0</v>
      </c>
      <c r="J27" s="227">
        <f t="shared" si="10"/>
        <v>0</v>
      </c>
    </row>
    <row r="28" spans="1:10" hidden="1" x14ac:dyDescent="0.25">
      <c r="A28" s="225"/>
      <c r="B28" s="226" t="s">
        <v>177</v>
      </c>
      <c r="C28" s="1010"/>
      <c r="D28" s="227">
        <f>'таблица (всего)'!D17</f>
        <v>9940800</v>
      </c>
      <c r="E28" s="227">
        <f>'таблица (всего)'!E17</f>
        <v>0</v>
      </c>
      <c r="F28" s="227">
        <f>'таблица (всего)'!F17</f>
        <v>0</v>
      </c>
      <c r="G28" s="227">
        <f>'таблица (всего)'!G17</f>
        <v>0</v>
      </c>
      <c r="H28" s="227">
        <f>'таблица (всего)'!H17</f>
        <v>0</v>
      </c>
      <c r="I28" s="227">
        <f>'таблица (всего)'!I17</f>
        <v>0</v>
      </c>
      <c r="J28" s="227">
        <f>'таблица (всего)'!J17</f>
        <v>0</v>
      </c>
    </row>
    <row r="29" spans="1:10" hidden="1" x14ac:dyDescent="0.25">
      <c r="A29" s="225"/>
      <c r="B29" s="226" t="s">
        <v>178</v>
      </c>
      <c r="C29" s="1010"/>
      <c r="D29" s="228" t="s">
        <v>227</v>
      </c>
      <c r="E29" s="228" t="s">
        <v>227</v>
      </c>
      <c r="F29" s="228" t="s">
        <v>227</v>
      </c>
      <c r="G29" s="228" t="s">
        <v>227</v>
      </c>
      <c r="H29" s="228" t="s">
        <v>227</v>
      </c>
      <c r="I29" s="228" t="s">
        <v>227</v>
      </c>
      <c r="J29" s="228" t="s">
        <v>227</v>
      </c>
    </row>
    <row r="30" spans="1:10" ht="89.25" hidden="1" x14ac:dyDescent="0.25">
      <c r="A30" s="230" t="s">
        <v>248</v>
      </c>
      <c r="B30" s="229" t="str">
        <f>'таблица (всего)'!C18</f>
        <v xml:space="preserve">Приобретение производственного и хозяйственного инвентаря, включая медицинскую мебель, областными учреждениями здравоохранения, осуществляющими деятельность в сфере обязательного медицинского страхования
</v>
      </c>
      <c r="C30" s="225" t="s">
        <v>180</v>
      </c>
      <c r="D30" s="227">
        <f>D31</f>
        <v>112900</v>
      </c>
      <c r="E30" s="227">
        <f t="shared" ref="E30:J31" si="11">E31</f>
        <v>0</v>
      </c>
      <c r="F30" s="227">
        <f t="shared" si="11"/>
        <v>0</v>
      </c>
      <c r="G30" s="227">
        <f t="shared" si="11"/>
        <v>0</v>
      </c>
      <c r="H30" s="227">
        <f t="shared" si="11"/>
        <v>0</v>
      </c>
      <c r="I30" s="227">
        <f t="shared" si="11"/>
        <v>0</v>
      </c>
      <c r="J30" s="227">
        <f t="shared" si="11"/>
        <v>0</v>
      </c>
    </row>
    <row r="31" spans="1:10" hidden="1" x14ac:dyDescent="0.25">
      <c r="A31" s="225"/>
      <c r="B31" s="226" t="s">
        <v>176</v>
      </c>
      <c r="C31" s="1010"/>
      <c r="D31" s="227">
        <f>D32</f>
        <v>112900</v>
      </c>
      <c r="E31" s="227">
        <f t="shared" si="11"/>
        <v>0</v>
      </c>
      <c r="F31" s="227">
        <f t="shared" si="11"/>
        <v>0</v>
      </c>
      <c r="G31" s="227">
        <f t="shared" si="11"/>
        <v>0</v>
      </c>
      <c r="H31" s="227">
        <f t="shared" si="11"/>
        <v>0</v>
      </c>
      <c r="I31" s="227">
        <f t="shared" si="11"/>
        <v>0</v>
      </c>
      <c r="J31" s="227">
        <f t="shared" si="11"/>
        <v>0</v>
      </c>
    </row>
    <row r="32" spans="1:10" hidden="1" x14ac:dyDescent="0.25">
      <c r="A32" s="225"/>
      <c r="B32" s="226" t="s">
        <v>177</v>
      </c>
      <c r="C32" s="1010"/>
      <c r="D32" s="227">
        <f>'таблица (всего)'!D18</f>
        <v>112900</v>
      </c>
      <c r="E32" s="227">
        <f>'таблица (всего)'!E18</f>
        <v>0</v>
      </c>
      <c r="F32" s="227">
        <f>'таблица (всего)'!F18</f>
        <v>0</v>
      </c>
      <c r="G32" s="227">
        <f>'таблица (всего)'!G18</f>
        <v>0</v>
      </c>
      <c r="H32" s="227">
        <f>'таблица (всего)'!H18</f>
        <v>0</v>
      </c>
      <c r="I32" s="227">
        <f>'таблица (всего)'!I18</f>
        <v>0</v>
      </c>
      <c r="J32" s="227">
        <f>'таблица (всего)'!J18</f>
        <v>0</v>
      </c>
    </row>
    <row r="33" spans="1:10" hidden="1" x14ac:dyDescent="0.25">
      <c r="A33" s="225"/>
      <c r="B33" s="226" t="s">
        <v>178</v>
      </c>
      <c r="C33" s="1010"/>
      <c r="D33" s="228" t="s">
        <v>227</v>
      </c>
      <c r="E33" s="228" t="s">
        <v>227</v>
      </c>
      <c r="F33" s="228" t="s">
        <v>227</v>
      </c>
      <c r="G33" s="228" t="s">
        <v>227</v>
      </c>
      <c r="H33" s="228" t="s">
        <v>227</v>
      </c>
      <c r="I33" s="228" t="s">
        <v>227</v>
      </c>
      <c r="J33" s="228" t="s">
        <v>227</v>
      </c>
    </row>
    <row r="34" spans="1:10" ht="51" hidden="1" x14ac:dyDescent="0.25">
      <c r="A34" s="230" t="s">
        <v>249</v>
      </c>
      <c r="B34" s="229" t="str">
        <f>'таблица (всего)'!C19</f>
        <v xml:space="preserve">Приобретение санитарного автотранспорта </v>
      </c>
      <c r="C34" s="225" t="s">
        <v>180</v>
      </c>
      <c r="D34" s="227">
        <f>D35</f>
        <v>11059200</v>
      </c>
      <c r="E34" s="227">
        <f t="shared" ref="E34:J35" si="12">E35</f>
        <v>0</v>
      </c>
      <c r="F34" s="227">
        <f t="shared" si="12"/>
        <v>0</v>
      </c>
      <c r="G34" s="227">
        <f t="shared" si="12"/>
        <v>0</v>
      </c>
      <c r="H34" s="227">
        <f t="shared" si="12"/>
        <v>0</v>
      </c>
      <c r="I34" s="227">
        <f t="shared" si="12"/>
        <v>0</v>
      </c>
      <c r="J34" s="227">
        <f t="shared" si="12"/>
        <v>0</v>
      </c>
    </row>
    <row r="35" spans="1:10" hidden="1" x14ac:dyDescent="0.25">
      <c r="A35" s="225"/>
      <c r="B35" s="226" t="s">
        <v>176</v>
      </c>
      <c r="C35" s="1010"/>
      <c r="D35" s="227">
        <f>D36</f>
        <v>11059200</v>
      </c>
      <c r="E35" s="227">
        <f t="shared" si="12"/>
        <v>0</v>
      </c>
      <c r="F35" s="227">
        <f t="shared" si="12"/>
        <v>0</v>
      </c>
      <c r="G35" s="227">
        <f t="shared" si="12"/>
        <v>0</v>
      </c>
      <c r="H35" s="227">
        <f t="shared" si="12"/>
        <v>0</v>
      </c>
      <c r="I35" s="227">
        <f t="shared" si="12"/>
        <v>0</v>
      </c>
      <c r="J35" s="227">
        <f t="shared" si="12"/>
        <v>0</v>
      </c>
    </row>
    <row r="36" spans="1:10" hidden="1" x14ac:dyDescent="0.25">
      <c r="A36" s="225"/>
      <c r="B36" s="226" t="s">
        <v>177</v>
      </c>
      <c r="C36" s="1010"/>
      <c r="D36" s="227">
        <f>'таблица (всего)'!D19</f>
        <v>11059200</v>
      </c>
      <c r="E36" s="227">
        <f>'таблица (всего)'!E19</f>
        <v>0</v>
      </c>
      <c r="F36" s="227">
        <f>'таблица (всего)'!F19</f>
        <v>0</v>
      </c>
      <c r="G36" s="227">
        <f>'таблица (всего)'!G19</f>
        <v>0</v>
      </c>
      <c r="H36" s="227">
        <f>'таблица (всего)'!H19</f>
        <v>0</v>
      </c>
      <c r="I36" s="227">
        <f>'таблица (всего)'!I19</f>
        <v>0</v>
      </c>
      <c r="J36" s="227">
        <f>'таблица (всего)'!J19</f>
        <v>0</v>
      </c>
    </row>
    <row r="37" spans="1:10" hidden="1" x14ac:dyDescent="0.25">
      <c r="A37" s="225"/>
      <c r="B37" s="226" t="s">
        <v>178</v>
      </c>
      <c r="C37" s="1010"/>
      <c r="D37" s="228" t="s">
        <v>227</v>
      </c>
      <c r="E37" s="228" t="s">
        <v>227</v>
      </c>
      <c r="F37" s="228" t="s">
        <v>227</v>
      </c>
      <c r="G37" s="228" t="s">
        <v>227</v>
      </c>
      <c r="H37" s="228" t="s">
        <v>227</v>
      </c>
      <c r="I37" s="228" t="s">
        <v>227</v>
      </c>
      <c r="J37" s="228" t="s">
        <v>227</v>
      </c>
    </row>
    <row r="38" spans="1:10" ht="51" hidden="1" x14ac:dyDescent="0.25">
      <c r="A38" s="230" t="s">
        <v>250</v>
      </c>
      <c r="B38" s="226" t="str">
        <f>'таблица (всего)'!C20</f>
        <v>Мероприятия по развитию службы крови</v>
      </c>
      <c r="C38" s="225" t="s">
        <v>180</v>
      </c>
      <c r="D38" s="227">
        <f>D39</f>
        <v>296963400</v>
      </c>
      <c r="E38" s="227">
        <f t="shared" ref="E38:J38" si="13">E39</f>
        <v>0</v>
      </c>
      <c r="F38" s="227">
        <f t="shared" si="13"/>
        <v>0</v>
      </c>
      <c r="G38" s="227">
        <f t="shared" si="13"/>
        <v>0</v>
      </c>
      <c r="H38" s="227">
        <f t="shared" si="13"/>
        <v>0</v>
      </c>
      <c r="I38" s="227">
        <f t="shared" si="13"/>
        <v>0</v>
      </c>
      <c r="J38" s="227">
        <f t="shared" si="13"/>
        <v>0</v>
      </c>
    </row>
    <row r="39" spans="1:10" hidden="1" x14ac:dyDescent="0.25">
      <c r="A39" s="225"/>
      <c r="B39" s="226" t="s">
        <v>176</v>
      </c>
      <c r="C39" s="1010"/>
      <c r="D39" s="227">
        <f>D41</f>
        <v>296963400</v>
      </c>
      <c r="E39" s="227">
        <f t="shared" ref="E39:J39" si="14">E41</f>
        <v>0</v>
      </c>
      <c r="F39" s="227">
        <f t="shared" si="14"/>
        <v>0</v>
      </c>
      <c r="G39" s="227">
        <f t="shared" si="14"/>
        <v>0</v>
      </c>
      <c r="H39" s="227">
        <f t="shared" si="14"/>
        <v>0</v>
      </c>
      <c r="I39" s="227">
        <f t="shared" si="14"/>
        <v>0</v>
      </c>
      <c r="J39" s="227">
        <f t="shared" si="14"/>
        <v>0</v>
      </c>
    </row>
    <row r="40" spans="1:10" hidden="1" x14ac:dyDescent="0.25">
      <c r="A40" s="225"/>
      <c r="B40" s="226" t="s">
        <v>177</v>
      </c>
      <c r="C40" s="1010"/>
      <c r="D40" s="228" t="s">
        <v>227</v>
      </c>
      <c r="E40" s="228" t="s">
        <v>227</v>
      </c>
      <c r="F40" s="228" t="s">
        <v>227</v>
      </c>
      <c r="G40" s="228" t="s">
        <v>227</v>
      </c>
      <c r="H40" s="228" t="s">
        <v>227</v>
      </c>
      <c r="I40" s="228" t="s">
        <v>227</v>
      </c>
      <c r="J40" s="228" t="s">
        <v>227</v>
      </c>
    </row>
    <row r="41" spans="1:10" hidden="1" x14ac:dyDescent="0.25">
      <c r="A41" s="225"/>
      <c r="B41" s="226" t="s">
        <v>178</v>
      </c>
      <c r="C41" s="1010"/>
      <c r="D41" s="227">
        <f>'таблица (всего)'!D20</f>
        <v>296963400</v>
      </c>
      <c r="E41" s="227">
        <f>'таблица (всего)'!E20</f>
        <v>0</v>
      </c>
      <c r="F41" s="227">
        <f>'таблица (всего)'!F20</f>
        <v>0</v>
      </c>
      <c r="G41" s="227">
        <f>'таблица (всего)'!G20</f>
        <v>0</v>
      </c>
      <c r="H41" s="227">
        <f>'таблица (всего)'!H20</f>
        <v>0</v>
      </c>
      <c r="I41" s="227">
        <f>'таблица (всего)'!I20</f>
        <v>0</v>
      </c>
      <c r="J41" s="227">
        <f>'таблица (всего)'!J20</f>
        <v>0</v>
      </c>
    </row>
    <row r="42" spans="1:10" ht="76.5" hidden="1" x14ac:dyDescent="0.25">
      <c r="A42" s="230" t="s">
        <v>251</v>
      </c>
      <c r="B42" s="226" t="str">
        <f>'таблица (всего)'!C21</f>
        <v xml:space="preserve">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
</v>
      </c>
      <c r="C42" s="225" t="s">
        <v>180</v>
      </c>
      <c r="D42" s="227">
        <f>D43</f>
        <v>34900000</v>
      </c>
      <c r="E42" s="227">
        <f t="shared" ref="E42:J42" si="15">E43</f>
        <v>0</v>
      </c>
      <c r="F42" s="227">
        <f t="shared" si="15"/>
        <v>0</v>
      </c>
      <c r="G42" s="227">
        <f t="shared" si="15"/>
        <v>0</v>
      </c>
      <c r="H42" s="227">
        <f t="shared" si="15"/>
        <v>0</v>
      </c>
      <c r="I42" s="227">
        <f t="shared" si="15"/>
        <v>0</v>
      </c>
      <c r="J42" s="227">
        <f t="shared" si="15"/>
        <v>0</v>
      </c>
    </row>
    <row r="43" spans="1:10" hidden="1" x14ac:dyDescent="0.25">
      <c r="A43" s="225"/>
      <c r="B43" s="226" t="s">
        <v>176</v>
      </c>
      <c r="C43" s="1010"/>
      <c r="D43" s="227">
        <f>D45</f>
        <v>34900000</v>
      </c>
      <c r="E43" s="227">
        <f t="shared" ref="E43:J43" si="16">E45</f>
        <v>0</v>
      </c>
      <c r="F43" s="227">
        <f t="shared" si="16"/>
        <v>0</v>
      </c>
      <c r="G43" s="227">
        <f t="shared" si="16"/>
        <v>0</v>
      </c>
      <c r="H43" s="227">
        <f t="shared" si="16"/>
        <v>0</v>
      </c>
      <c r="I43" s="227">
        <f t="shared" si="16"/>
        <v>0</v>
      </c>
      <c r="J43" s="227">
        <f t="shared" si="16"/>
        <v>0</v>
      </c>
    </row>
    <row r="44" spans="1:10" hidden="1" x14ac:dyDescent="0.25">
      <c r="A44" s="225"/>
      <c r="B44" s="226" t="s">
        <v>177</v>
      </c>
      <c r="C44" s="1010"/>
      <c r="D44" s="228" t="s">
        <v>227</v>
      </c>
      <c r="E44" s="228" t="s">
        <v>227</v>
      </c>
      <c r="F44" s="228" t="s">
        <v>227</v>
      </c>
      <c r="G44" s="228" t="s">
        <v>227</v>
      </c>
      <c r="H44" s="228" t="s">
        <v>227</v>
      </c>
      <c r="I44" s="228" t="s">
        <v>227</v>
      </c>
      <c r="J44" s="228" t="s">
        <v>227</v>
      </c>
    </row>
    <row r="45" spans="1:10" hidden="1" x14ac:dyDescent="0.25">
      <c r="A45" s="225"/>
      <c r="B45" s="226" t="s">
        <v>178</v>
      </c>
      <c r="C45" s="1010"/>
      <c r="D45" s="227">
        <f>'таблица (всего)'!D21</f>
        <v>34900000</v>
      </c>
      <c r="E45" s="227">
        <f>'таблица (всего)'!E21</f>
        <v>0</v>
      </c>
      <c r="F45" s="227">
        <f>'таблица (всего)'!F21</f>
        <v>0</v>
      </c>
      <c r="G45" s="227">
        <f>'таблица (всего)'!G21</f>
        <v>0</v>
      </c>
      <c r="H45" s="227">
        <f>'таблица (всего)'!H21</f>
        <v>0</v>
      </c>
      <c r="I45" s="227">
        <f>'таблица (всего)'!I21</f>
        <v>0</v>
      </c>
      <c r="J45" s="227">
        <f>'таблица (всего)'!J21</f>
        <v>0</v>
      </c>
    </row>
    <row r="46" spans="1:10" ht="51" hidden="1" x14ac:dyDescent="0.25">
      <c r="A46" s="230" t="s">
        <v>252</v>
      </c>
      <c r="B46" s="226" t="str">
        <f>'таблица (всего)'!C22</f>
        <v>Текущий ремонт объектов благоустройства внутреннего двора корпуса для ветеранов войн ОБУЗ "Ивановский областной госпиталь для ветеранов войн"</v>
      </c>
      <c r="C46" s="225" t="s">
        <v>180</v>
      </c>
      <c r="D46" s="227">
        <f>D47</f>
        <v>1124600</v>
      </c>
      <c r="E46" s="227">
        <f t="shared" ref="E46:J47" si="17">E47</f>
        <v>0</v>
      </c>
      <c r="F46" s="227">
        <f t="shared" si="17"/>
        <v>0</v>
      </c>
      <c r="G46" s="227">
        <f t="shared" si="17"/>
        <v>0</v>
      </c>
      <c r="H46" s="227">
        <f t="shared" si="17"/>
        <v>0</v>
      </c>
      <c r="I46" s="227">
        <f t="shared" si="17"/>
        <v>0</v>
      </c>
      <c r="J46" s="227">
        <f t="shared" si="17"/>
        <v>0</v>
      </c>
    </row>
    <row r="47" spans="1:10" hidden="1" x14ac:dyDescent="0.25">
      <c r="A47" s="225"/>
      <c r="B47" s="226" t="s">
        <v>176</v>
      </c>
      <c r="C47" s="1010"/>
      <c r="D47" s="227">
        <f>D48</f>
        <v>1124600</v>
      </c>
      <c r="E47" s="227">
        <f t="shared" si="17"/>
        <v>0</v>
      </c>
      <c r="F47" s="227">
        <f t="shared" si="17"/>
        <v>0</v>
      </c>
      <c r="G47" s="227">
        <f t="shared" si="17"/>
        <v>0</v>
      </c>
      <c r="H47" s="227">
        <f t="shared" si="17"/>
        <v>0</v>
      </c>
      <c r="I47" s="227">
        <f t="shared" si="17"/>
        <v>0</v>
      </c>
      <c r="J47" s="227">
        <f t="shared" si="17"/>
        <v>0</v>
      </c>
    </row>
    <row r="48" spans="1:10" hidden="1" x14ac:dyDescent="0.25">
      <c r="A48" s="225"/>
      <c r="B48" s="226" t="s">
        <v>177</v>
      </c>
      <c r="C48" s="1010"/>
      <c r="D48" s="227">
        <f>'таблица (всего)'!D22</f>
        <v>1124600</v>
      </c>
      <c r="E48" s="227">
        <f>'таблица (всего)'!E22</f>
        <v>0</v>
      </c>
      <c r="F48" s="227">
        <f>'таблица (всего)'!F22</f>
        <v>0</v>
      </c>
      <c r="G48" s="227">
        <f>'таблица (всего)'!G22</f>
        <v>0</v>
      </c>
      <c r="H48" s="227">
        <f>'таблица (всего)'!H22</f>
        <v>0</v>
      </c>
      <c r="I48" s="227">
        <f>'таблица (всего)'!I22</f>
        <v>0</v>
      </c>
      <c r="J48" s="227">
        <f>'таблица (всего)'!J22</f>
        <v>0</v>
      </c>
    </row>
    <row r="49" spans="1:10" hidden="1" x14ac:dyDescent="0.25">
      <c r="A49" s="225"/>
      <c r="B49" s="226" t="s">
        <v>178</v>
      </c>
      <c r="C49" s="1010"/>
      <c r="D49" s="228" t="s">
        <v>227</v>
      </c>
      <c r="E49" s="228" t="s">
        <v>227</v>
      </c>
      <c r="F49" s="228" t="s">
        <v>227</v>
      </c>
      <c r="G49" s="228" t="s">
        <v>227</v>
      </c>
      <c r="H49" s="228" t="s">
        <v>227</v>
      </c>
      <c r="I49" s="228" t="s">
        <v>227</v>
      </c>
      <c r="J49" s="228" t="s">
        <v>227</v>
      </c>
    </row>
    <row r="50" spans="1:10" ht="51" hidden="1" x14ac:dyDescent="0.25">
      <c r="A50" s="230" t="s">
        <v>253</v>
      </c>
      <c r="B50" s="226" t="str">
        <f>'таблица (всего)'!C23</f>
        <v>Ремонт патологоанатомического отделения областного бюджетного учреждения здравоохранения "Ивановская областная клиническая больница"</v>
      </c>
      <c r="C50" s="225" t="s">
        <v>180</v>
      </c>
      <c r="D50" s="227">
        <f>D51</f>
        <v>1990200</v>
      </c>
      <c r="E50" s="227">
        <f t="shared" ref="E50:J51" si="18">E51</f>
        <v>0</v>
      </c>
      <c r="F50" s="227">
        <f t="shared" si="18"/>
        <v>0</v>
      </c>
      <c r="G50" s="227">
        <f t="shared" si="18"/>
        <v>0</v>
      </c>
      <c r="H50" s="227">
        <f t="shared" si="18"/>
        <v>0</v>
      </c>
      <c r="I50" s="227">
        <f t="shared" si="18"/>
        <v>0</v>
      </c>
      <c r="J50" s="227">
        <f t="shared" si="18"/>
        <v>0</v>
      </c>
    </row>
    <row r="51" spans="1:10" hidden="1" x14ac:dyDescent="0.25">
      <c r="A51" s="225"/>
      <c r="B51" s="226" t="s">
        <v>176</v>
      </c>
      <c r="C51" s="1010"/>
      <c r="D51" s="227">
        <f>D52</f>
        <v>1990200</v>
      </c>
      <c r="E51" s="227">
        <f t="shared" si="18"/>
        <v>0</v>
      </c>
      <c r="F51" s="227">
        <f t="shared" si="18"/>
        <v>0</v>
      </c>
      <c r="G51" s="227">
        <f t="shared" si="18"/>
        <v>0</v>
      </c>
      <c r="H51" s="227">
        <f t="shared" si="18"/>
        <v>0</v>
      </c>
      <c r="I51" s="227">
        <f t="shared" si="18"/>
        <v>0</v>
      </c>
      <c r="J51" s="227">
        <f t="shared" si="18"/>
        <v>0</v>
      </c>
    </row>
    <row r="52" spans="1:10" hidden="1" x14ac:dyDescent="0.25">
      <c r="A52" s="225"/>
      <c r="B52" s="226" t="s">
        <v>177</v>
      </c>
      <c r="C52" s="1010"/>
      <c r="D52" s="227">
        <f>'таблица (всего)'!D23</f>
        <v>1990200</v>
      </c>
      <c r="E52" s="227">
        <f>'таблица (всего)'!E23</f>
        <v>0</v>
      </c>
      <c r="F52" s="227">
        <f>'таблица (всего)'!F23</f>
        <v>0</v>
      </c>
      <c r="G52" s="227">
        <f>'таблица (всего)'!G23</f>
        <v>0</v>
      </c>
      <c r="H52" s="227">
        <f>'таблица (всего)'!H23</f>
        <v>0</v>
      </c>
      <c r="I52" s="227">
        <f>'таблица (всего)'!I23</f>
        <v>0</v>
      </c>
      <c r="J52" s="227">
        <f>'таблица (всего)'!J23</f>
        <v>0</v>
      </c>
    </row>
    <row r="53" spans="1:10" hidden="1" x14ac:dyDescent="0.25">
      <c r="A53" s="225"/>
      <c r="B53" s="226" t="s">
        <v>178</v>
      </c>
      <c r="C53" s="1010"/>
      <c r="D53" s="228" t="s">
        <v>227</v>
      </c>
      <c r="E53" s="228" t="s">
        <v>227</v>
      </c>
      <c r="F53" s="228" t="s">
        <v>227</v>
      </c>
      <c r="G53" s="228" t="s">
        <v>227</v>
      </c>
      <c r="H53" s="228" t="s">
        <v>227</v>
      </c>
      <c r="I53" s="228" t="s">
        <v>227</v>
      </c>
      <c r="J53" s="228" t="s">
        <v>227</v>
      </c>
    </row>
    <row r="54" spans="1:10" ht="51" hidden="1" x14ac:dyDescent="0.25">
      <c r="A54" s="230" t="s">
        <v>254</v>
      </c>
      <c r="B54" s="226" t="str">
        <f>'таблица (всего)'!C24</f>
        <v>Пристройка шахты лифта к хирургическому корпусу ОБУЗ «Кинешемская центральная районная больница»</v>
      </c>
      <c r="C54" s="225" t="s">
        <v>180</v>
      </c>
      <c r="D54" s="227">
        <f>D55</f>
        <v>0</v>
      </c>
      <c r="E54" s="227">
        <f t="shared" ref="E54:J55" si="19">E55</f>
        <v>4200000</v>
      </c>
      <c r="F54" s="227">
        <f t="shared" si="19"/>
        <v>0</v>
      </c>
      <c r="G54" s="227">
        <f t="shared" si="19"/>
        <v>0</v>
      </c>
      <c r="H54" s="227">
        <f t="shared" si="19"/>
        <v>0</v>
      </c>
      <c r="I54" s="227">
        <f t="shared" si="19"/>
        <v>0</v>
      </c>
      <c r="J54" s="227">
        <f t="shared" si="19"/>
        <v>0</v>
      </c>
    </row>
    <row r="55" spans="1:10" hidden="1" x14ac:dyDescent="0.25">
      <c r="A55" s="225"/>
      <c r="B55" s="226" t="s">
        <v>176</v>
      </c>
      <c r="C55" s="1010"/>
      <c r="D55" s="227">
        <f>D56</f>
        <v>0</v>
      </c>
      <c r="E55" s="227">
        <f t="shared" si="19"/>
        <v>4200000</v>
      </c>
      <c r="F55" s="227">
        <f t="shared" si="19"/>
        <v>0</v>
      </c>
      <c r="G55" s="227">
        <f t="shared" si="19"/>
        <v>0</v>
      </c>
      <c r="H55" s="227">
        <f t="shared" si="19"/>
        <v>0</v>
      </c>
      <c r="I55" s="227">
        <f t="shared" si="19"/>
        <v>0</v>
      </c>
      <c r="J55" s="227">
        <f t="shared" si="19"/>
        <v>0</v>
      </c>
    </row>
    <row r="56" spans="1:10" hidden="1" x14ac:dyDescent="0.25">
      <c r="A56" s="225"/>
      <c r="B56" s="226" t="s">
        <v>177</v>
      </c>
      <c r="C56" s="1010"/>
      <c r="D56" s="227">
        <f>'таблица (всего)'!D24</f>
        <v>0</v>
      </c>
      <c r="E56" s="227">
        <f>'таблица (всего)'!E24</f>
        <v>4200000</v>
      </c>
      <c r="F56" s="227">
        <f>'таблица (всего)'!F24</f>
        <v>0</v>
      </c>
      <c r="G56" s="227">
        <f>'таблица (всего)'!G24</f>
        <v>0</v>
      </c>
      <c r="H56" s="227">
        <f>'таблица (всего)'!H24</f>
        <v>0</v>
      </c>
      <c r="I56" s="227">
        <f>'таблица (всего)'!I24</f>
        <v>0</v>
      </c>
      <c r="J56" s="227">
        <f>'таблица (всего)'!J24</f>
        <v>0</v>
      </c>
    </row>
    <row r="57" spans="1:10" hidden="1" x14ac:dyDescent="0.25">
      <c r="A57" s="225"/>
      <c r="B57" s="226" t="s">
        <v>178</v>
      </c>
      <c r="C57" s="1010"/>
      <c r="D57" s="228" t="s">
        <v>227</v>
      </c>
      <c r="E57" s="228" t="s">
        <v>227</v>
      </c>
      <c r="F57" s="228" t="s">
        <v>227</v>
      </c>
      <c r="G57" s="228" t="s">
        <v>227</v>
      </c>
      <c r="H57" s="228" t="s">
        <v>227</v>
      </c>
      <c r="I57" s="228" t="s">
        <v>227</v>
      </c>
      <c r="J57" s="228" t="s">
        <v>227</v>
      </c>
    </row>
  </sheetData>
  <mergeCells count="16">
    <mergeCell ref="C55:C57"/>
    <mergeCell ref="I1:J1"/>
    <mergeCell ref="C39:C41"/>
    <mergeCell ref="C43:C45"/>
    <mergeCell ref="C47:C49"/>
    <mergeCell ref="C51:C53"/>
    <mergeCell ref="C23:C25"/>
    <mergeCell ref="C27:C29"/>
    <mergeCell ref="C31:C33"/>
    <mergeCell ref="C35:C37"/>
    <mergeCell ref="C19:C21"/>
    <mergeCell ref="C7:C9"/>
    <mergeCell ref="C11:C13"/>
    <mergeCell ref="C15:C17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3"/>
  <sheetViews>
    <sheetView zoomScale="90" zoomScaleNormal="90" workbookViewId="0">
      <selection activeCell="F37" sqref="F37"/>
    </sheetView>
  </sheetViews>
  <sheetFormatPr defaultRowHeight="15" x14ac:dyDescent="0.25"/>
  <cols>
    <col min="1" max="1" width="4.140625" style="76" customWidth="1"/>
    <col min="2" max="2" width="38.28515625" style="219" customWidth="1"/>
    <col min="3" max="3" width="16.140625" style="76" customWidth="1"/>
    <col min="4" max="5" width="17.5703125" style="77" hidden="1" customWidth="1"/>
    <col min="6" max="6" width="17.5703125" style="77" customWidth="1"/>
    <col min="7" max="10" width="17.5703125" customWidth="1"/>
    <col min="11" max="11" width="14.85546875" bestFit="1" customWidth="1"/>
  </cols>
  <sheetData>
    <row r="1" spans="1:17" ht="86.25" customHeight="1" x14ac:dyDescent="0.25">
      <c r="I1" s="1011" t="s">
        <v>181</v>
      </c>
      <c r="J1" s="1011"/>
    </row>
    <row r="2" spans="1:17" ht="26.25" customHeight="1" x14ac:dyDescent="0.25">
      <c r="A2" s="1012" t="s">
        <v>182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24" customHeight="1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3">
      <c r="A4" s="78"/>
      <c r="B4" s="220"/>
      <c r="C4" s="78"/>
      <c r="D4" s="78"/>
      <c r="E4" s="78"/>
      <c r="J4" s="79" t="s">
        <v>172</v>
      </c>
    </row>
    <row r="5" spans="1:17" ht="25.5" x14ac:dyDescent="0.25">
      <c r="A5" s="223" t="s">
        <v>173</v>
      </c>
      <c r="B5" s="224" t="s">
        <v>223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6" t="s">
        <v>224</v>
      </c>
      <c r="C6" s="225"/>
      <c r="D6" s="227">
        <f>D7</f>
        <v>810033222.42000008</v>
      </c>
      <c r="E6" s="227">
        <f t="shared" ref="E6:J6" si="0">E7</f>
        <v>547542835.72000003</v>
      </c>
      <c r="F6" s="313">
        <f t="shared" si="0"/>
        <v>417458460.48000002</v>
      </c>
      <c r="G6" s="313">
        <f t="shared" si="0"/>
        <v>217694107.16</v>
      </c>
      <c r="H6" s="313">
        <f t="shared" si="0"/>
        <v>214381807.16</v>
      </c>
      <c r="I6" s="313">
        <f t="shared" si="0"/>
        <v>213048358.88999999</v>
      </c>
      <c r="J6" s="313">
        <f t="shared" si="0"/>
        <v>152985558.88999999</v>
      </c>
      <c r="K6" s="222">
        <f>D6-'таблица (всего)'!D25</f>
        <v>0</v>
      </c>
      <c r="L6" s="222">
        <f>E6-'таблица (всего)'!E25</f>
        <v>0</v>
      </c>
      <c r="M6" s="222">
        <f>F6-'таблица (всего)'!F25</f>
        <v>0</v>
      </c>
      <c r="N6" s="222">
        <f>G6-'таблица (всего)'!G25</f>
        <v>0</v>
      </c>
      <c r="O6" s="222">
        <f>H6-'таблица (всего)'!H25</f>
        <v>0</v>
      </c>
      <c r="P6" s="222">
        <f>I6-'таблица (всего)'!I25</f>
        <v>0</v>
      </c>
      <c r="Q6" s="222">
        <f>J6-'таблица (всего)'!J25</f>
        <v>0</v>
      </c>
    </row>
    <row r="7" spans="1:17" x14ac:dyDescent="0.25">
      <c r="A7" s="225"/>
      <c r="B7" s="226" t="s">
        <v>225</v>
      </c>
      <c r="C7" s="1010"/>
      <c r="D7" s="227">
        <f>D8+D9</f>
        <v>810033222.42000008</v>
      </c>
      <c r="E7" s="227">
        <f t="shared" ref="E7:J7" si="1">E8+E9</f>
        <v>547542835.72000003</v>
      </c>
      <c r="F7" s="313">
        <f t="shared" si="1"/>
        <v>417458460.48000002</v>
      </c>
      <c r="G7" s="313">
        <f t="shared" si="1"/>
        <v>217694107.16</v>
      </c>
      <c r="H7" s="313">
        <f t="shared" si="1"/>
        <v>214381807.16</v>
      </c>
      <c r="I7" s="313">
        <f t="shared" si="1"/>
        <v>213048358.88999999</v>
      </c>
      <c r="J7" s="313">
        <f t="shared" si="1"/>
        <v>152985558.88999999</v>
      </c>
    </row>
    <row r="8" spans="1:17" x14ac:dyDescent="0.25">
      <c r="A8" s="225"/>
      <c r="B8" s="226" t="s">
        <v>177</v>
      </c>
      <c r="C8" s="1010"/>
      <c r="D8" s="227">
        <f t="shared" ref="D8:J8" si="2">D12+D28+D56+D68</f>
        <v>568401300</v>
      </c>
      <c r="E8" s="227">
        <f t="shared" si="2"/>
        <v>143755215.55000001</v>
      </c>
      <c r="F8" s="313">
        <f t="shared" si="2"/>
        <v>156710860.47999999</v>
      </c>
      <c r="G8" s="313">
        <f t="shared" si="2"/>
        <v>152984307.16</v>
      </c>
      <c r="H8" s="313">
        <f t="shared" si="2"/>
        <v>152984307.16</v>
      </c>
      <c r="I8" s="313">
        <f t="shared" si="2"/>
        <v>152985558.88999999</v>
      </c>
      <c r="J8" s="313">
        <f t="shared" si="2"/>
        <v>152985558.88999999</v>
      </c>
      <c r="K8" s="222">
        <f>D8-'таблица (всего)'!D27</f>
        <v>0</v>
      </c>
      <c r="L8" s="222">
        <f>E8-'таблица (всего)'!E27</f>
        <v>0</v>
      </c>
      <c r="M8" s="222">
        <f>F8-'таблица (всего)'!F27</f>
        <v>0</v>
      </c>
      <c r="N8" s="222">
        <f>G8-'таблица (всего)'!G27</f>
        <v>0</v>
      </c>
      <c r="O8" s="222">
        <f>H8-'таблица (всего)'!H27</f>
        <v>0</v>
      </c>
      <c r="P8" s="222">
        <f>I8-'таблица (всего)'!I27</f>
        <v>0</v>
      </c>
      <c r="Q8" s="222">
        <f>J8-'таблица (всего)'!J27</f>
        <v>0</v>
      </c>
    </row>
    <row r="9" spans="1:17" x14ac:dyDescent="0.25">
      <c r="A9" s="225"/>
      <c r="B9" s="226" t="s">
        <v>178</v>
      </c>
      <c r="C9" s="1010"/>
      <c r="D9" s="227">
        <f>D37</f>
        <v>241631922.42000002</v>
      </c>
      <c r="E9" s="227">
        <f t="shared" ref="E9:J9" si="3">E37</f>
        <v>403787620.17000002</v>
      </c>
      <c r="F9" s="313">
        <f t="shared" si="3"/>
        <v>260747600</v>
      </c>
      <c r="G9" s="313">
        <f t="shared" si="3"/>
        <v>64709800</v>
      </c>
      <c r="H9" s="313">
        <f t="shared" si="3"/>
        <v>61397500</v>
      </c>
      <c r="I9" s="313">
        <f t="shared" si="3"/>
        <v>60062800</v>
      </c>
      <c r="J9" s="313">
        <f t="shared" si="3"/>
        <v>0</v>
      </c>
      <c r="K9" s="222">
        <f>D9-'таблица (всего)'!D26</f>
        <v>0</v>
      </c>
      <c r="L9" s="222">
        <f>E9-'таблица (всего)'!E26</f>
        <v>0</v>
      </c>
      <c r="M9" s="222">
        <f>F9-'таблица (всего)'!F26</f>
        <v>0</v>
      </c>
      <c r="N9" s="222">
        <f>G9-'таблица (всего)'!G26</f>
        <v>0</v>
      </c>
      <c r="O9" s="222">
        <f>H9-'таблица (всего)'!H26</f>
        <v>0</v>
      </c>
      <c r="P9" s="222">
        <f>I9-'таблица (всего)'!I26</f>
        <v>0</v>
      </c>
      <c r="Q9" s="222">
        <f>J9-'таблица (всего)'!J26</f>
        <v>0</v>
      </c>
    </row>
    <row r="10" spans="1:17" ht="51" x14ac:dyDescent="0.25">
      <c r="A10" s="225" t="s">
        <v>228</v>
      </c>
      <c r="B10" s="229" t="str">
        <f>'таблица (всего)'!C28</f>
        <v>«Оказание первичной медико-санитарной помощи»</v>
      </c>
      <c r="C10" s="225" t="s">
        <v>180</v>
      </c>
      <c r="D10" s="227">
        <f>D11</f>
        <v>168762400</v>
      </c>
      <c r="E10" s="227">
        <f t="shared" ref="E10:J11" si="4">E11</f>
        <v>138202674.24000001</v>
      </c>
      <c r="F10" s="313">
        <f t="shared" si="4"/>
        <v>151156853.16999999</v>
      </c>
      <c r="G10" s="313">
        <f t="shared" si="4"/>
        <v>146984307.16</v>
      </c>
      <c r="H10" s="313">
        <f t="shared" si="4"/>
        <v>146984307.16</v>
      </c>
      <c r="I10" s="313">
        <f t="shared" si="4"/>
        <v>146985558.88999999</v>
      </c>
      <c r="J10" s="313">
        <f t="shared" si="4"/>
        <v>146985558.88999999</v>
      </c>
    </row>
    <row r="11" spans="1:17" x14ac:dyDescent="0.25">
      <c r="A11" s="225"/>
      <c r="B11" s="226" t="s">
        <v>225</v>
      </c>
      <c r="C11" s="1010"/>
      <c r="D11" s="227">
        <f>D12</f>
        <v>168762400</v>
      </c>
      <c r="E11" s="227">
        <f t="shared" si="4"/>
        <v>138202674.24000001</v>
      </c>
      <c r="F11" s="313">
        <f t="shared" si="4"/>
        <v>151156853.16999999</v>
      </c>
      <c r="G11" s="313">
        <f t="shared" si="4"/>
        <v>146984307.16</v>
      </c>
      <c r="H11" s="313">
        <f t="shared" si="4"/>
        <v>146984307.16</v>
      </c>
      <c r="I11" s="313">
        <f t="shared" si="4"/>
        <v>146985558.88999999</v>
      </c>
      <c r="J11" s="313">
        <f t="shared" si="4"/>
        <v>146985558.88999999</v>
      </c>
    </row>
    <row r="12" spans="1:17" x14ac:dyDescent="0.25">
      <c r="A12" s="225"/>
      <c r="B12" s="226" t="s">
        <v>177</v>
      </c>
      <c r="C12" s="1010"/>
      <c r="D12" s="227">
        <f t="shared" ref="D12:J12" si="5">D16+D20+D24</f>
        <v>168762400</v>
      </c>
      <c r="E12" s="227">
        <f t="shared" si="5"/>
        <v>138202674.24000001</v>
      </c>
      <c r="F12" s="313">
        <f t="shared" si="5"/>
        <v>151156853.16999999</v>
      </c>
      <c r="G12" s="313">
        <f t="shared" si="5"/>
        <v>146984307.16</v>
      </c>
      <c r="H12" s="313">
        <f t="shared" si="5"/>
        <v>146984307.16</v>
      </c>
      <c r="I12" s="313">
        <f t="shared" si="5"/>
        <v>146985558.88999999</v>
      </c>
      <c r="J12" s="313">
        <f t="shared" si="5"/>
        <v>146985558.88999999</v>
      </c>
    </row>
    <row r="13" spans="1:17" x14ac:dyDescent="0.25">
      <c r="A13" s="225"/>
      <c r="B13" s="226" t="s">
        <v>178</v>
      </c>
      <c r="C13" s="1010"/>
      <c r="D13" s="228" t="s">
        <v>227</v>
      </c>
      <c r="E13" s="228" t="s">
        <v>227</v>
      </c>
      <c r="F13" s="313">
        <v>0</v>
      </c>
      <c r="G13" s="313">
        <v>0</v>
      </c>
      <c r="H13" s="313">
        <v>0</v>
      </c>
      <c r="I13" s="313">
        <v>0</v>
      </c>
      <c r="J13" s="313">
        <v>0</v>
      </c>
    </row>
    <row r="14" spans="1:17" ht="76.5" x14ac:dyDescent="0.25">
      <c r="A14" s="230" t="s">
        <v>234</v>
      </c>
      <c r="B14" s="231" t="str">
        <f>'таблица (всего)'!C29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14" s="225" t="s">
        <v>180</v>
      </c>
      <c r="D14" s="227">
        <f t="shared" ref="D14:J14" si="6">D15</f>
        <v>24280100</v>
      </c>
      <c r="E14" s="227">
        <f t="shared" si="6"/>
        <v>7737100.0099999998</v>
      </c>
      <c r="F14" s="313">
        <f t="shared" si="6"/>
        <v>20306066.59</v>
      </c>
      <c r="G14" s="313">
        <f t="shared" si="6"/>
        <v>20306066.59</v>
      </c>
      <c r="H14" s="313">
        <f t="shared" si="6"/>
        <v>20306066.59</v>
      </c>
      <c r="I14" s="313">
        <f t="shared" si="6"/>
        <v>20306066.59</v>
      </c>
      <c r="J14" s="313">
        <f t="shared" si="6"/>
        <v>20306066.59</v>
      </c>
    </row>
    <row r="15" spans="1:17" x14ac:dyDescent="0.25">
      <c r="A15" s="225"/>
      <c r="B15" s="226" t="s">
        <v>225</v>
      </c>
      <c r="C15" s="1010"/>
      <c r="D15" s="227">
        <v>24280100</v>
      </c>
      <c r="E15" s="227">
        <f t="shared" ref="E15:J15" si="7">E16</f>
        <v>7737100.0099999998</v>
      </c>
      <c r="F15" s="313">
        <f t="shared" si="7"/>
        <v>20306066.59</v>
      </c>
      <c r="G15" s="313">
        <f t="shared" si="7"/>
        <v>20306066.59</v>
      </c>
      <c r="H15" s="313">
        <f t="shared" si="7"/>
        <v>20306066.59</v>
      </c>
      <c r="I15" s="313">
        <f t="shared" si="7"/>
        <v>20306066.59</v>
      </c>
      <c r="J15" s="313">
        <f t="shared" si="7"/>
        <v>20306066.59</v>
      </c>
    </row>
    <row r="16" spans="1:17" x14ac:dyDescent="0.25">
      <c r="A16" s="225"/>
      <c r="B16" s="226" t="s">
        <v>177</v>
      </c>
      <c r="C16" s="1010"/>
      <c r="D16" s="227">
        <f>'таблица (всего)'!D29</f>
        <v>24280100</v>
      </c>
      <c r="E16" s="227">
        <f>'таблица (всего)'!E29</f>
        <v>7737100.0099999998</v>
      </c>
      <c r="F16" s="313">
        <f>'таблица (всего)'!F29</f>
        <v>20306066.59</v>
      </c>
      <c r="G16" s="313">
        <f>'таблица (всего)'!G29</f>
        <v>20306066.59</v>
      </c>
      <c r="H16" s="313">
        <f>'таблица (всего)'!H29</f>
        <v>20306066.59</v>
      </c>
      <c r="I16" s="313">
        <f>'таблица (всего)'!I29</f>
        <v>20306066.59</v>
      </c>
      <c r="J16" s="313">
        <f>'таблица (всего)'!J29</f>
        <v>20306066.59</v>
      </c>
    </row>
    <row r="17" spans="1:10" x14ac:dyDescent="0.25">
      <c r="A17" s="225"/>
      <c r="B17" s="226" t="s">
        <v>178</v>
      </c>
      <c r="C17" s="1010"/>
      <c r="D17" s="228" t="s">
        <v>227</v>
      </c>
      <c r="E17" s="228" t="s">
        <v>227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</row>
    <row r="18" spans="1:10" ht="51" x14ac:dyDescent="0.25">
      <c r="A18" s="230" t="s">
        <v>235</v>
      </c>
      <c r="B18" s="229" t="str">
        <f>'таблица (всего)'!C30</f>
        <v>Оказание первичной медико-санитарной помощи в амбулаторных условиях</v>
      </c>
      <c r="C18" s="225" t="s">
        <v>180</v>
      </c>
      <c r="D18" s="227">
        <f>D19</f>
        <v>144482300</v>
      </c>
      <c r="E18" s="227">
        <f t="shared" ref="E18:J19" si="8">E19</f>
        <v>129945840.98999999</v>
      </c>
      <c r="F18" s="313">
        <f t="shared" si="8"/>
        <v>125850786.58</v>
      </c>
      <c r="G18" s="313">
        <f t="shared" si="8"/>
        <v>121478240.56999999</v>
      </c>
      <c r="H18" s="313">
        <f t="shared" si="8"/>
        <v>121478240.56999999</v>
      </c>
      <c r="I18" s="313">
        <f t="shared" si="8"/>
        <v>121479492.3</v>
      </c>
      <c r="J18" s="313">
        <f t="shared" si="8"/>
        <v>121479492.3</v>
      </c>
    </row>
    <row r="19" spans="1:10" x14ac:dyDescent="0.25">
      <c r="A19" s="225"/>
      <c r="B19" s="226" t="s">
        <v>225</v>
      </c>
      <c r="C19" s="1010"/>
      <c r="D19" s="227">
        <f>D20</f>
        <v>144482300</v>
      </c>
      <c r="E19" s="227">
        <f t="shared" si="8"/>
        <v>129945840.98999999</v>
      </c>
      <c r="F19" s="313">
        <f t="shared" si="8"/>
        <v>125850786.58</v>
      </c>
      <c r="G19" s="313">
        <f t="shared" si="8"/>
        <v>121478240.56999999</v>
      </c>
      <c r="H19" s="313">
        <f t="shared" si="8"/>
        <v>121478240.56999999</v>
      </c>
      <c r="I19" s="313">
        <f t="shared" si="8"/>
        <v>121479492.3</v>
      </c>
      <c r="J19" s="313">
        <f t="shared" si="8"/>
        <v>121479492.3</v>
      </c>
    </row>
    <row r="20" spans="1:10" x14ac:dyDescent="0.25">
      <c r="A20" s="225"/>
      <c r="B20" s="226" t="s">
        <v>177</v>
      </c>
      <c r="C20" s="1010"/>
      <c r="D20" s="227">
        <f>'таблица (всего)'!D30</f>
        <v>144482300</v>
      </c>
      <c r="E20" s="227">
        <f>'таблица (всего)'!E30</f>
        <v>129945840.98999999</v>
      </c>
      <c r="F20" s="313">
        <f>'таблица (всего)'!F30</f>
        <v>125850786.58</v>
      </c>
      <c r="G20" s="313">
        <f>'таблица (всего)'!G30</f>
        <v>121478240.56999999</v>
      </c>
      <c r="H20" s="313">
        <f>'таблица (всего)'!H30</f>
        <v>121478240.56999999</v>
      </c>
      <c r="I20" s="313">
        <f>'таблица (всего)'!I30</f>
        <v>121479492.3</v>
      </c>
      <c r="J20" s="313">
        <f>'таблица (всего)'!J30</f>
        <v>121479492.3</v>
      </c>
    </row>
    <row r="21" spans="1:10" x14ac:dyDescent="0.25">
      <c r="A21" s="225"/>
      <c r="B21" s="226" t="s">
        <v>178</v>
      </c>
      <c r="C21" s="1010"/>
      <c r="D21" s="227" t="s">
        <v>227</v>
      </c>
      <c r="E21" s="227" t="s">
        <v>227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</row>
    <row r="22" spans="1:10" ht="51" x14ac:dyDescent="0.25">
      <c r="A22" s="290" t="s">
        <v>246</v>
      </c>
      <c r="B22" s="229" t="str">
        <f>'таблица (всего)'!C31</f>
        <v>Закупка аллергена туберкулезного очищенного в стандартном разведении для проведения туберкулинодианостики</v>
      </c>
      <c r="C22" s="225" t="s">
        <v>180</v>
      </c>
      <c r="D22" s="227">
        <f>D23</f>
        <v>0</v>
      </c>
      <c r="E22" s="227">
        <f t="shared" ref="E22:J23" si="9">E23</f>
        <v>519733.24</v>
      </c>
      <c r="F22" s="313">
        <f t="shared" si="9"/>
        <v>5000000</v>
      </c>
      <c r="G22" s="313">
        <f t="shared" si="9"/>
        <v>5200000</v>
      </c>
      <c r="H22" s="313">
        <f t="shared" si="9"/>
        <v>5200000</v>
      </c>
      <c r="I22" s="313">
        <f t="shared" si="9"/>
        <v>5200000</v>
      </c>
      <c r="J22" s="313">
        <f t="shared" si="9"/>
        <v>5200000</v>
      </c>
    </row>
    <row r="23" spans="1:10" x14ac:dyDescent="0.25">
      <c r="A23" s="290"/>
      <c r="B23" s="226" t="s">
        <v>225</v>
      </c>
      <c r="C23" s="225"/>
      <c r="D23" s="227">
        <f>D24</f>
        <v>0</v>
      </c>
      <c r="E23" s="227">
        <f t="shared" si="9"/>
        <v>519733.24</v>
      </c>
      <c r="F23" s="313">
        <f t="shared" si="9"/>
        <v>5000000</v>
      </c>
      <c r="G23" s="313">
        <f t="shared" si="9"/>
        <v>5200000</v>
      </c>
      <c r="H23" s="313">
        <f t="shared" si="9"/>
        <v>5200000</v>
      </c>
      <c r="I23" s="313">
        <f t="shared" si="9"/>
        <v>5200000</v>
      </c>
      <c r="J23" s="313">
        <f t="shared" si="9"/>
        <v>5200000</v>
      </c>
    </row>
    <row r="24" spans="1:10" x14ac:dyDescent="0.25">
      <c r="A24" s="290"/>
      <c r="B24" s="226" t="s">
        <v>177</v>
      </c>
      <c r="C24" s="225"/>
      <c r="D24" s="227">
        <f>'таблица (всего)'!D31</f>
        <v>0</v>
      </c>
      <c r="E24" s="227">
        <f>'таблица (всего)'!E31</f>
        <v>519733.24</v>
      </c>
      <c r="F24" s="313">
        <f>'таблица (всего)'!F31</f>
        <v>5000000</v>
      </c>
      <c r="G24" s="313">
        <f>'таблица (всего)'!G31</f>
        <v>5200000</v>
      </c>
      <c r="H24" s="313">
        <f>'таблица (всего)'!H31</f>
        <v>5200000</v>
      </c>
      <c r="I24" s="313">
        <f>'таблица (всего)'!I31</f>
        <v>5200000</v>
      </c>
      <c r="J24" s="313">
        <f>'таблица (всего)'!J31</f>
        <v>5200000</v>
      </c>
    </row>
    <row r="25" spans="1:10" x14ac:dyDescent="0.25">
      <c r="A25" s="290"/>
      <c r="B25" s="226" t="s">
        <v>178</v>
      </c>
      <c r="C25" s="225"/>
      <c r="D25" s="228" t="s">
        <v>227</v>
      </c>
      <c r="E25" s="228" t="s">
        <v>227</v>
      </c>
      <c r="F25" s="313">
        <v>0</v>
      </c>
      <c r="G25" s="313">
        <v>0</v>
      </c>
      <c r="H25" s="313">
        <v>0</v>
      </c>
      <c r="I25" s="313">
        <v>0</v>
      </c>
      <c r="J25" s="313">
        <v>0</v>
      </c>
    </row>
    <row r="26" spans="1:10" ht="51" x14ac:dyDescent="0.25">
      <c r="A26" s="225" t="s">
        <v>229</v>
      </c>
      <c r="B26" s="229" t="str">
        <f>'таблица (всего)'!C32</f>
        <v>«Профилактика инфекционных заболеваний, включая имунопрофилактику»</v>
      </c>
      <c r="C26" s="225" t="s">
        <v>180</v>
      </c>
      <c r="D26" s="227">
        <f>D27</f>
        <v>5289600</v>
      </c>
      <c r="E26" s="227">
        <f t="shared" ref="E26:J27" si="10">E27</f>
        <v>5552541.3099999996</v>
      </c>
      <c r="F26" s="313">
        <f t="shared" si="10"/>
        <v>5554007.3099999996</v>
      </c>
      <c r="G26" s="313">
        <f t="shared" si="10"/>
        <v>6000000</v>
      </c>
      <c r="H26" s="313">
        <f t="shared" si="10"/>
        <v>6000000</v>
      </c>
      <c r="I26" s="313">
        <f t="shared" si="10"/>
        <v>6000000</v>
      </c>
      <c r="J26" s="313">
        <f t="shared" si="10"/>
        <v>6000000</v>
      </c>
    </row>
    <row r="27" spans="1:10" x14ac:dyDescent="0.25">
      <c r="A27" s="225"/>
      <c r="B27" s="226" t="s">
        <v>225</v>
      </c>
      <c r="C27" s="1010"/>
      <c r="D27" s="227">
        <f>D28</f>
        <v>5289600</v>
      </c>
      <c r="E27" s="227">
        <f t="shared" si="10"/>
        <v>5552541.3099999996</v>
      </c>
      <c r="F27" s="313">
        <f t="shared" si="10"/>
        <v>5554007.3099999996</v>
      </c>
      <c r="G27" s="313">
        <f t="shared" si="10"/>
        <v>6000000</v>
      </c>
      <c r="H27" s="313">
        <f t="shared" si="10"/>
        <v>6000000</v>
      </c>
      <c r="I27" s="313">
        <f t="shared" si="10"/>
        <v>6000000</v>
      </c>
      <c r="J27" s="313">
        <f t="shared" si="10"/>
        <v>6000000</v>
      </c>
    </row>
    <row r="28" spans="1:10" x14ac:dyDescent="0.25">
      <c r="A28" s="225"/>
      <c r="B28" s="226" t="s">
        <v>177</v>
      </c>
      <c r="C28" s="1010"/>
      <c r="D28" s="227">
        <f>D32</f>
        <v>5289600</v>
      </c>
      <c r="E28" s="227">
        <f t="shared" ref="E28:J28" si="11">E32</f>
        <v>5552541.3099999996</v>
      </c>
      <c r="F28" s="313">
        <f t="shared" si="11"/>
        <v>5554007.3099999996</v>
      </c>
      <c r="G28" s="313">
        <f t="shared" si="11"/>
        <v>6000000</v>
      </c>
      <c r="H28" s="313">
        <f t="shared" si="11"/>
        <v>6000000</v>
      </c>
      <c r="I28" s="313">
        <f t="shared" si="11"/>
        <v>6000000</v>
      </c>
      <c r="J28" s="313">
        <f t="shared" si="11"/>
        <v>6000000</v>
      </c>
    </row>
    <row r="29" spans="1:10" x14ac:dyDescent="0.25">
      <c r="A29" s="225"/>
      <c r="B29" s="226" t="s">
        <v>178</v>
      </c>
      <c r="C29" s="1010"/>
      <c r="D29" s="228" t="s">
        <v>227</v>
      </c>
      <c r="E29" s="228" t="s">
        <v>227</v>
      </c>
      <c r="F29" s="313">
        <v>0</v>
      </c>
      <c r="G29" s="313">
        <v>0</v>
      </c>
      <c r="H29" s="313">
        <v>0</v>
      </c>
      <c r="I29" s="313">
        <v>0</v>
      </c>
      <c r="J29" s="313">
        <v>0</v>
      </c>
    </row>
    <row r="30" spans="1:10" ht="102" x14ac:dyDescent="0.25">
      <c r="A30" s="230" t="s">
        <v>236</v>
      </c>
      <c r="B30" s="229" t="str">
        <f>'таблица (всего)'!C33</f>
        <v>Обеспечение государственных учреждений здравоохранения Ивановской области иммунобиологическими лекарственными препаратами для иммунопрофилактики в целях проведения профилактических прививок, включенных в календарь профилактических прививок по эпидемическим показаниям</v>
      </c>
      <c r="C30" s="225" t="s">
        <v>180</v>
      </c>
      <c r="D30" s="227">
        <f>D31</f>
        <v>5289600</v>
      </c>
      <c r="E30" s="227">
        <f t="shared" ref="E30:J31" si="12">E31</f>
        <v>5552541.3099999996</v>
      </c>
      <c r="F30" s="313">
        <f t="shared" si="12"/>
        <v>5554007.3099999996</v>
      </c>
      <c r="G30" s="313">
        <f t="shared" si="12"/>
        <v>6000000</v>
      </c>
      <c r="H30" s="313">
        <f t="shared" si="12"/>
        <v>6000000</v>
      </c>
      <c r="I30" s="313">
        <f t="shared" si="12"/>
        <v>6000000</v>
      </c>
      <c r="J30" s="313">
        <f t="shared" si="12"/>
        <v>6000000</v>
      </c>
    </row>
    <row r="31" spans="1:10" x14ac:dyDescent="0.25">
      <c r="A31" s="225"/>
      <c r="B31" s="226" t="s">
        <v>225</v>
      </c>
      <c r="C31" s="1010"/>
      <c r="D31" s="227">
        <f>D32</f>
        <v>5289600</v>
      </c>
      <c r="E31" s="227">
        <f t="shared" si="12"/>
        <v>5552541.3099999996</v>
      </c>
      <c r="F31" s="313">
        <f t="shared" si="12"/>
        <v>5554007.3099999996</v>
      </c>
      <c r="G31" s="313">
        <f t="shared" si="12"/>
        <v>6000000</v>
      </c>
      <c r="H31" s="313">
        <f t="shared" si="12"/>
        <v>6000000</v>
      </c>
      <c r="I31" s="313">
        <f t="shared" si="12"/>
        <v>6000000</v>
      </c>
      <c r="J31" s="313">
        <f t="shared" si="12"/>
        <v>6000000</v>
      </c>
    </row>
    <row r="32" spans="1:10" x14ac:dyDescent="0.25">
      <c r="A32" s="225"/>
      <c r="B32" s="226" t="s">
        <v>177</v>
      </c>
      <c r="C32" s="1010"/>
      <c r="D32" s="227">
        <f>'таблица (всего)'!D33</f>
        <v>5289600</v>
      </c>
      <c r="E32" s="227">
        <f>'таблица (всего)'!E33</f>
        <v>5552541.3099999996</v>
      </c>
      <c r="F32" s="313">
        <f>'таблица (всего)'!F33</f>
        <v>5554007.3099999996</v>
      </c>
      <c r="G32" s="313">
        <f>'таблица (всего)'!G33</f>
        <v>6000000</v>
      </c>
      <c r="H32" s="313">
        <f>'таблица (всего)'!H33</f>
        <v>6000000</v>
      </c>
      <c r="I32" s="313">
        <f>'таблица (всего)'!I33</f>
        <v>6000000</v>
      </c>
      <c r="J32" s="313">
        <f>'таблица (всего)'!J33</f>
        <v>6000000</v>
      </c>
    </row>
    <row r="33" spans="1:10" x14ac:dyDescent="0.25">
      <c r="A33" s="225"/>
      <c r="B33" s="226" t="s">
        <v>178</v>
      </c>
      <c r="C33" s="1010"/>
      <c r="D33" s="228" t="s">
        <v>227</v>
      </c>
      <c r="E33" s="228" t="s">
        <v>227</v>
      </c>
      <c r="F33" s="313">
        <v>0</v>
      </c>
      <c r="G33" s="313">
        <v>0</v>
      </c>
      <c r="H33" s="313">
        <v>0</v>
      </c>
      <c r="I33" s="313">
        <v>0</v>
      </c>
      <c r="J33" s="313">
        <v>0</v>
      </c>
    </row>
    <row r="34" spans="1:10" ht="51" x14ac:dyDescent="0.25">
      <c r="A34" s="225" t="s">
        <v>231</v>
      </c>
      <c r="B34" s="229" t="str">
        <f>'таблица (всего)'!C34</f>
        <v xml:space="preserve"> «Обеспечение лекарственными препаратами, изделиями медицинского назначения и лечебным питанием отдельных групп населения Ивановской области»</v>
      </c>
      <c r="C34" s="225" t="s">
        <v>180</v>
      </c>
      <c r="D34" s="227">
        <f>D35</f>
        <v>241631922.42000002</v>
      </c>
      <c r="E34" s="227">
        <f t="shared" ref="E34:J34" si="13">E35</f>
        <v>403787620.17000002</v>
      </c>
      <c r="F34" s="313">
        <f t="shared" si="13"/>
        <v>260747600</v>
      </c>
      <c r="G34" s="313">
        <f t="shared" si="13"/>
        <v>64709800</v>
      </c>
      <c r="H34" s="313">
        <f t="shared" si="13"/>
        <v>61397500</v>
      </c>
      <c r="I34" s="313">
        <f t="shared" si="13"/>
        <v>60062800</v>
      </c>
      <c r="J34" s="313">
        <f t="shared" si="13"/>
        <v>0</v>
      </c>
    </row>
    <row r="35" spans="1:10" x14ac:dyDescent="0.25">
      <c r="A35" s="225"/>
      <c r="B35" s="226" t="s">
        <v>225</v>
      </c>
      <c r="C35" s="1010"/>
      <c r="D35" s="227">
        <f>D37</f>
        <v>241631922.42000002</v>
      </c>
      <c r="E35" s="227">
        <f t="shared" ref="E35:J35" si="14">E37</f>
        <v>403787620.17000002</v>
      </c>
      <c r="F35" s="313">
        <f t="shared" si="14"/>
        <v>260747600</v>
      </c>
      <c r="G35" s="313">
        <f t="shared" si="14"/>
        <v>64709800</v>
      </c>
      <c r="H35" s="313">
        <f t="shared" si="14"/>
        <v>61397500</v>
      </c>
      <c r="I35" s="313">
        <f t="shared" si="14"/>
        <v>60062800</v>
      </c>
      <c r="J35" s="313">
        <f t="shared" si="14"/>
        <v>0</v>
      </c>
    </row>
    <row r="36" spans="1:10" x14ac:dyDescent="0.25">
      <c r="A36" s="225"/>
      <c r="B36" s="226" t="s">
        <v>177</v>
      </c>
      <c r="C36" s="1010"/>
      <c r="D36" s="228" t="s">
        <v>227</v>
      </c>
      <c r="E36" s="228" t="s">
        <v>227</v>
      </c>
      <c r="F36" s="313">
        <v>0</v>
      </c>
      <c r="G36" s="313">
        <v>0</v>
      </c>
      <c r="H36" s="313">
        <v>0</v>
      </c>
      <c r="I36" s="313">
        <v>0</v>
      </c>
      <c r="J36" s="313">
        <v>0</v>
      </c>
    </row>
    <row r="37" spans="1:10" x14ac:dyDescent="0.25">
      <c r="A37" s="225"/>
      <c r="B37" s="226" t="s">
        <v>178</v>
      </c>
      <c r="C37" s="1010"/>
      <c r="D37" s="227">
        <f t="shared" ref="D37:J37" si="15">D41+D45+D49+D53</f>
        <v>241631922.42000002</v>
      </c>
      <c r="E37" s="227">
        <f t="shared" si="15"/>
        <v>403787620.17000002</v>
      </c>
      <c r="F37" s="313">
        <f t="shared" si="15"/>
        <v>260747600</v>
      </c>
      <c r="G37" s="313">
        <f t="shared" si="15"/>
        <v>64709800</v>
      </c>
      <c r="H37" s="313">
        <f t="shared" si="15"/>
        <v>61397500</v>
      </c>
      <c r="I37" s="313">
        <f t="shared" si="15"/>
        <v>60062800</v>
      </c>
      <c r="J37" s="313">
        <f t="shared" si="15"/>
        <v>0</v>
      </c>
    </row>
    <row r="38" spans="1:10" ht="132.75" customHeight="1" x14ac:dyDescent="0.25">
      <c r="A38" s="230" t="s">
        <v>238</v>
      </c>
      <c r="B38" s="231" t="str">
        <f>'таблица (всего)'!C35</f>
        <v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v>
      </c>
      <c r="C38" s="225" t="s">
        <v>180</v>
      </c>
      <c r="D38" s="227">
        <f>D39</f>
        <v>11626322.42</v>
      </c>
      <c r="E38" s="227">
        <f t="shared" ref="E38:J38" si="16">E39</f>
        <v>10750920.17</v>
      </c>
      <c r="F38" s="313">
        <f t="shared" si="16"/>
        <v>5607800</v>
      </c>
      <c r="G38" s="313">
        <f t="shared" si="16"/>
        <v>0</v>
      </c>
      <c r="H38" s="313">
        <f t="shared" si="16"/>
        <v>0</v>
      </c>
      <c r="I38" s="313">
        <f t="shared" si="16"/>
        <v>0</v>
      </c>
      <c r="J38" s="313">
        <f t="shared" si="16"/>
        <v>0</v>
      </c>
    </row>
    <row r="39" spans="1:10" x14ac:dyDescent="0.25">
      <c r="A39" s="225"/>
      <c r="B39" s="226" t="s">
        <v>225</v>
      </c>
      <c r="C39" s="1010"/>
      <c r="D39" s="227">
        <f>D41</f>
        <v>11626322.42</v>
      </c>
      <c r="E39" s="227">
        <f t="shared" ref="E39:J39" si="17">E41</f>
        <v>10750920.17</v>
      </c>
      <c r="F39" s="313">
        <f t="shared" si="17"/>
        <v>5607800</v>
      </c>
      <c r="G39" s="313">
        <f t="shared" si="17"/>
        <v>0</v>
      </c>
      <c r="H39" s="313">
        <f t="shared" si="17"/>
        <v>0</v>
      </c>
      <c r="I39" s="313">
        <f t="shared" si="17"/>
        <v>0</v>
      </c>
      <c r="J39" s="313">
        <f t="shared" si="17"/>
        <v>0</v>
      </c>
    </row>
    <row r="40" spans="1:10" x14ac:dyDescent="0.25">
      <c r="A40" s="225"/>
      <c r="B40" s="226" t="s">
        <v>177</v>
      </c>
      <c r="C40" s="1010"/>
      <c r="D40" s="228" t="s">
        <v>227</v>
      </c>
      <c r="E40" s="228" t="s">
        <v>227</v>
      </c>
      <c r="F40" s="313">
        <v>0</v>
      </c>
      <c r="G40" s="313">
        <v>0</v>
      </c>
      <c r="H40" s="313">
        <v>0</v>
      </c>
      <c r="I40" s="313">
        <v>0</v>
      </c>
      <c r="J40" s="313">
        <v>0</v>
      </c>
    </row>
    <row r="41" spans="1:10" x14ac:dyDescent="0.25">
      <c r="A41" s="225"/>
      <c r="B41" s="226" t="s">
        <v>178</v>
      </c>
      <c r="C41" s="1010"/>
      <c r="D41" s="227">
        <f>'таблица (всего)'!D35</f>
        <v>11626322.42</v>
      </c>
      <c r="E41" s="227">
        <f>'таблица (всего)'!E35</f>
        <v>10750920.17</v>
      </c>
      <c r="F41" s="313">
        <f>'таблица (всего)'!F35</f>
        <v>5607800</v>
      </c>
      <c r="G41" s="313">
        <f>'таблица (всего)'!G35</f>
        <v>0</v>
      </c>
      <c r="H41" s="313">
        <f>'таблица (всего)'!H35</f>
        <v>0</v>
      </c>
      <c r="I41" s="313">
        <f>'таблица (всего)'!I35</f>
        <v>0</v>
      </c>
      <c r="J41" s="313">
        <f>'таблица (всего)'!J35</f>
        <v>0</v>
      </c>
    </row>
    <row r="42" spans="1:10" ht="51" x14ac:dyDescent="0.25">
      <c r="A42" s="230" t="s">
        <v>239</v>
      </c>
      <c r="B42" s="229" t="str">
        <f>'таблица (всего)'!C36</f>
        <v>Реализация отдельных полномочий в области лекарственного обеспечения</v>
      </c>
      <c r="C42" s="225" t="s">
        <v>180</v>
      </c>
      <c r="D42" s="227">
        <f>D43</f>
        <v>81993700</v>
      </c>
      <c r="E42" s="227">
        <f t="shared" ref="E42:J42" si="18">E43</f>
        <v>98648800</v>
      </c>
      <c r="F42" s="313">
        <f t="shared" si="18"/>
        <v>75859900</v>
      </c>
      <c r="G42" s="313">
        <f t="shared" si="18"/>
        <v>64709800</v>
      </c>
      <c r="H42" s="313">
        <f t="shared" si="18"/>
        <v>61397500</v>
      </c>
      <c r="I42" s="313">
        <f t="shared" si="18"/>
        <v>60062800</v>
      </c>
      <c r="J42" s="313">
        <f t="shared" si="18"/>
        <v>0</v>
      </c>
    </row>
    <row r="43" spans="1:10" x14ac:dyDescent="0.25">
      <c r="A43" s="225"/>
      <c r="B43" s="226" t="s">
        <v>225</v>
      </c>
      <c r="C43" s="1010"/>
      <c r="D43" s="227">
        <f>D45</f>
        <v>81993700</v>
      </c>
      <c r="E43" s="227">
        <f t="shared" ref="E43:J43" si="19">E45</f>
        <v>98648800</v>
      </c>
      <c r="F43" s="313">
        <f t="shared" si="19"/>
        <v>75859900</v>
      </c>
      <c r="G43" s="313">
        <f t="shared" si="19"/>
        <v>64709800</v>
      </c>
      <c r="H43" s="313">
        <f t="shared" si="19"/>
        <v>61397500</v>
      </c>
      <c r="I43" s="313">
        <f t="shared" si="19"/>
        <v>60062800</v>
      </c>
      <c r="J43" s="313">
        <f t="shared" si="19"/>
        <v>0</v>
      </c>
    </row>
    <row r="44" spans="1:10" x14ac:dyDescent="0.25">
      <c r="A44" s="225"/>
      <c r="B44" s="226" t="s">
        <v>177</v>
      </c>
      <c r="C44" s="1010"/>
      <c r="D44" s="228" t="s">
        <v>227</v>
      </c>
      <c r="E44" s="228" t="s">
        <v>227</v>
      </c>
      <c r="F44" s="313">
        <v>0</v>
      </c>
      <c r="G44" s="313">
        <v>0</v>
      </c>
      <c r="H44" s="313">
        <v>0</v>
      </c>
      <c r="I44" s="313">
        <v>0</v>
      </c>
      <c r="J44" s="313">
        <v>0</v>
      </c>
    </row>
    <row r="45" spans="1:10" x14ac:dyDescent="0.25">
      <c r="A45" s="225"/>
      <c r="B45" s="226" t="s">
        <v>178</v>
      </c>
      <c r="C45" s="1010"/>
      <c r="D45" s="227">
        <f>'таблица (всего)'!D36</f>
        <v>81993700</v>
      </c>
      <c r="E45" s="227">
        <f>'таблица (всего)'!E36</f>
        <v>98648800</v>
      </c>
      <c r="F45" s="313">
        <f>'таблица (всего)'!F36</f>
        <v>75859900</v>
      </c>
      <c r="G45" s="313">
        <f>'таблица (всего)'!G36</f>
        <v>64709800</v>
      </c>
      <c r="H45" s="313">
        <f>'таблица (всего)'!H36</f>
        <v>61397500</v>
      </c>
      <c r="I45" s="313">
        <f>'таблица (всего)'!I36</f>
        <v>60062800</v>
      </c>
      <c r="J45" s="313">
        <f>'таблица (всего)'!J36</f>
        <v>0</v>
      </c>
    </row>
    <row r="46" spans="1:10" ht="120.75" customHeight="1" x14ac:dyDescent="0.25">
      <c r="A46" s="230" t="s">
        <v>240</v>
      </c>
      <c r="B46" s="229" t="str">
        <f>'таблица (всего)'!C37</f>
        <v xml:space="preserve">Оказание отдельным категориям граждан государственной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</v>
      </c>
      <c r="C46" s="225" t="s">
        <v>180</v>
      </c>
      <c r="D46" s="227">
        <f>D47</f>
        <v>148011900</v>
      </c>
      <c r="E46" s="227">
        <f t="shared" ref="E46:J46" si="20">E47</f>
        <v>175391900</v>
      </c>
      <c r="F46" s="227">
        <f t="shared" si="20"/>
        <v>179279900</v>
      </c>
      <c r="G46" s="227">
        <f t="shared" si="20"/>
        <v>0</v>
      </c>
      <c r="H46" s="227">
        <f t="shared" si="20"/>
        <v>0</v>
      </c>
      <c r="I46" s="227">
        <f t="shared" si="20"/>
        <v>0</v>
      </c>
      <c r="J46" s="227">
        <f t="shared" si="20"/>
        <v>0</v>
      </c>
    </row>
    <row r="47" spans="1:10" x14ac:dyDescent="0.25">
      <c r="A47" s="225"/>
      <c r="B47" s="226" t="s">
        <v>225</v>
      </c>
      <c r="C47" s="1010"/>
      <c r="D47" s="227">
        <f>D49</f>
        <v>148011900</v>
      </c>
      <c r="E47" s="227">
        <f t="shared" ref="E47:J47" si="21">E49</f>
        <v>175391900</v>
      </c>
      <c r="F47" s="227">
        <f t="shared" si="21"/>
        <v>179279900</v>
      </c>
      <c r="G47" s="227">
        <f t="shared" si="21"/>
        <v>0</v>
      </c>
      <c r="H47" s="227">
        <f t="shared" si="21"/>
        <v>0</v>
      </c>
      <c r="I47" s="227">
        <f t="shared" si="21"/>
        <v>0</v>
      </c>
      <c r="J47" s="227">
        <f t="shared" si="21"/>
        <v>0</v>
      </c>
    </row>
    <row r="48" spans="1:10" x14ac:dyDescent="0.25">
      <c r="A48" s="225"/>
      <c r="B48" s="226" t="s">
        <v>177</v>
      </c>
      <c r="C48" s="1010"/>
      <c r="D48" s="228" t="s">
        <v>227</v>
      </c>
      <c r="E48" s="228" t="s">
        <v>227</v>
      </c>
      <c r="F48" s="228" t="s">
        <v>227</v>
      </c>
      <c r="G48" s="228" t="s">
        <v>227</v>
      </c>
      <c r="H48" s="228" t="s">
        <v>227</v>
      </c>
      <c r="I48" s="228" t="s">
        <v>227</v>
      </c>
      <c r="J48" s="228" t="s">
        <v>227</v>
      </c>
    </row>
    <row r="49" spans="1:10" x14ac:dyDescent="0.25">
      <c r="A49" s="225"/>
      <c r="B49" s="226" t="s">
        <v>178</v>
      </c>
      <c r="C49" s="1010"/>
      <c r="D49" s="227">
        <f>'таблица (всего)'!D37</f>
        <v>148011900</v>
      </c>
      <c r="E49" s="227">
        <f>'таблица (всего)'!E37</f>
        <v>175391900</v>
      </c>
      <c r="F49" s="227">
        <f>'таблица (всего)'!F37</f>
        <v>179279900</v>
      </c>
      <c r="G49" s="227">
        <f>'таблица (всего)'!G37</f>
        <v>0</v>
      </c>
      <c r="H49" s="227">
        <f>'таблица (всего)'!H37</f>
        <v>0</v>
      </c>
      <c r="I49" s="227">
        <f>'таблица (всего)'!I37</f>
        <v>0</v>
      </c>
      <c r="J49" s="227">
        <f>'таблица (всего)'!J37</f>
        <v>0</v>
      </c>
    </row>
    <row r="50" spans="1:10" ht="54" hidden="1" customHeight="1" x14ac:dyDescent="0.25">
      <c r="A50" s="230" t="s">
        <v>241</v>
      </c>
      <c r="B50" s="229" t="str">
        <f>'таблица (всего)'!C38</f>
        <v>Улучшение лекарственного обеспечения граждан</v>
      </c>
      <c r="C50" s="225" t="s">
        <v>180</v>
      </c>
      <c r="D50" s="227">
        <f>D51</f>
        <v>0</v>
      </c>
      <c r="E50" s="227">
        <f t="shared" ref="E50:J50" si="22">E51</f>
        <v>118996000</v>
      </c>
      <c r="F50" s="227">
        <f t="shared" si="22"/>
        <v>0</v>
      </c>
      <c r="G50" s="227">
        <f t="shared" si="22"/>
        <v>0</v>
      </c>
      <c r="H50" s="227">
        <f t="shared" si="22"/>
        <v>0</v>
      </c>
      <c r="I50" s="227">
        <f t="shared" si="22"/>
        <v>0</v>
      </c>
      <c r="J50" s="227">
        <f t="shared" si="22"/>
        <v>0</v>
      </c>
    </row>
    <row r="51" spans="1:10" hidden="1" x14ac:dyDescent="0.25">
      <c r="A51" s="225"/>
      <c r="B51" s="226" t="s">
        <v>225</v>
      </c>
      <c r="C51" s="1010"/>
      <c r="D51" s="227">
        <f>D53</f>
        <v>0</v>
      </c>
      <c r="E51" s="227">
        <f t="shared" ref="E51:J51" si="23">E53</f>
        <v>118996000</v>
      </c>
      <c r="F51" s="227">
        <f t="shared" si="23"/>
        <v>0</v>
      </c>
      <c r="G51" s="227">
        <f t="shared" si="23"/>
        <v>0</v>
      </c>
      <c r="H51" s="227">
        <f t="shared" si="23"/>
        <v>0</v>
      </c>
      <c r="I51" s="227">
        <f t="shared" si="23"/>
        <v>0</v>
      </c>
      <c r="J51" s="227">
        <f t="shared" si="23"/>
        <v>0</v>
      </c>
    </row>
    <row r="52" spans="1:10" hidden="1" x14ac:dyDescent="0.25">
      <c r="A52" s="225"/>
      <c r="B52" s="226" t="s">
        <v>177</v>
      </c>
      <c r="C52" s="1010"/>
      <c r="D52" s="228" t="s">
        <v>227</v>
      </c>
      <c r="E52" s="228" t="s">
        <v>227</v>
      </c>
      <c r="F52" s="228" t="s">
        <v>227</v>
      </c>
      <c r="G52" s="228" t="s">
        <v>227</v>
      </c>
      <c r="H52" s="228" t="s">
        <v>227</v>
      </c>
      <c r="I52" s="228" t="s">
        <v>227</v>
      </c>
      <c r="J52" s="228" t="s">
        <v>227</v>
      </c>
    </row>
    <row r="53" spans="1:10" hidden="1" x14ac:dyDescent="0.25">
      <c r="A53" s="225"/>
      <c r="B53" s="226" t="s">
        <v>178</v>
      </c>
      <c r="C53" s="1010"/>
      <c r="D53" s="227">
        <f>'таблица (всего)'!D38</f>
        <v>0</v>
      </c>
      <c r="E53" s="227">
        <f>'таблица (всего)'!E38</f>
        <v>118996000</v>
      </c>
      <c r="F53" s="227">
        <f>'таблица (всего)'!F38</f>
        <v>0</v>
      </c>
      <c r="G53" s="227">
        <f>'таблица (всего)'!G38</f>
        <v>0</v>
      </c>
      <c r="H53" s="227">
        <f>'таблица (всего)'!H38</f>
        <v>0</v>
      </c>
      <c r="I53" s="227">
        <f>'таблица (всего)'!I38</f>
        <v>0</v>
      </c>
      <c r="J53" s="227">
        <f>'таблица (всего)'!J38</f>
        <v>0</v>
      </c>
    </row>
    <row r="54" spans="1:10" ht="51" hidden="1" x14ac:dyDescent="0.25">
      <c r="A54" s="225" t="s">
        <v>232</v>
      </c>
      <c r="B54" s="226" t="str">
        <f>'таблица (всего)'!C39</f>
        <v>«Обеспечение бесперебойного и своевременного оказания скорой медицинской помощи на территории Ивановской области»</v>
      </c>
      <c r="C54" s="225" t="s">
        <v>180</v>
      </c>
      <c r="D54" s="227">
        <f>D55</f>
        <v>361351300</v>
      </c>
      <c r="E54" s="227">
        <f t="shared" ref="E54:J55" si="24">E55</f>
        <v>0</v>
      </c>
      <c r="F54" s="227">
        <f t="shared" si="24"/>
        <v>0</v>
      </c>
      <c r="G54" s="227">
        <f t="shared" si="24"/>
        <v>0</v>
      </c>
      <c r="H54" s="227">
        <f t="shared" si="24"/>
        <v>0</v>
      </c>
      <c r="I54" s="227">
        <f t="shared" si="24"/>
        <v>0</v>
      </c>
      <c r="J54" s="227">
        <f t="shared" si="24"/>
        <v>0</v>
      </c>
    </row>
    <row r="55" spans="1:10" hidden="1" x14ac:dyDescent="0.25">
      <c r="A55" s="225"/>
      <c r="B55" s="226" t="s">
        <v>225</v>
      </c>
      <c r="C55" s="1010"/>
      <c r="D55" s="227">
        <f>D56</f>
        <v>361351300</v>
      </c>
      <c r="E55" s="227">
        <f t="shared" si="24"/>
        <v>0</v>
      </c>
      <c r="F55" s="227">
        <f t="shared" si="24"/>
        <v>0</v>
      </c>
      <c r="G55" s="227">
        <f t="shared" si="24"/>
        <v>0</v>
      </c>
      <c r="H55" s="227">
        <f t="shared" si="24"/>
        <v>0</v>
      </c>
      <c r="I55" s="227">
        <f t="shared" si="24"/>
        <v>0</v>
      </c>
      <c r="J55" s="227">
        <f t="shared" si="24"/>
        <v>0</v>
      </c>
    </row>
    <row r="56" spans="1:10" hidden="1" x14ac:dyDescent="0.25">
      <c r="A56" s="225"/>
      <c r="B56" s="226" t="s">
        <v>177</v>
      </c>
      <c r="C56" s="1010"/>
      <c r="D56" s="227">
        <f t="shared" ref="D56:J56" si="25">D60+D64</f>
        <v>361351300</v>
      </c>
      <c r="E56" s="227">
        <f t="shared" si="25"/>
        <v>0</v>
      </c>
      <c r="F56" s="227">
        <f t="shared" si="25"/>
        <v>0</v>
      </c>
      <c r="G56" s="227">
        <f t="shared" si="25"/>
        <v>0</v>
      </c>
      <c r="H56" s="227">
        <f t="shared" si="25"/>
        <v>0</v>
      </c>
      <c r="I56" s="227">
        <f t="shared" si="25"/>
        <v>0</v>
      </c>
      <c r="J56" s="227">
        <f t="shared" si="25"/>
        <v>0</v>
      </c>
    </row>
    <row r="57" spans="1:10" hidden="1" x14ac:dyDescent="0.25">
      <c r="A57" s="225"/>
      <c r="B57" s="226" t="s">
        <v>178</v>
      </c>
      <c r="C57" s="1010"/>
      <c r="D57" s="228" t="s">
        <v>227</v>
      </c>
      <c r="E57" s="228" t="s">
        <v>227</v>
      </c>
      <c r="F57" s="228" t="s">
        <v>227</v>
      </c>
      <c r="G57" s="228" t="s">
        <v>227</v>
      </c>
      <c r="H57" s="228" t="s">
        <v>227</v>
      </c>
      <c r="I57" s="228" t="s">
        <v>227</v>
      </c>
      <c r="J57" s="228" t="s">
        <v>227</v>
      </c>
    </row>
    <row r="58" spans="1:10" ht="127.5" hidden="1" x14ac:dyDescent="0.25">
      <c r="A58" s="230" t="s">
        <v>242</v>
      </c>
      <c r="B58" s="226" t="str">
        <f>'таблица (всего)'!C40</f>
        <v xml:space="preserve">Иной межбюджетный трансферт бюджету территориального фонда обязательного медицинского страхования Ивановской области на финансовое обеспечение скорой медицинской помощи (за исключением специализированной (санитарно-авиационной) скорой медицинской помощи) в части базовой программы обязательного медицинского страхования
</v>
      </c>
      <c r="C58" s="225" t="s">
        <v>180</v>
      </c>
      <c r="D58" s="227">
        <f>D59</f>
        <v>331685200</v>
      </c>
      <c r="E58" s="227">
        <f t="shared" ref="E58:J59" si="26">E59</f>
        <v>0</v>
      </c>
      <c r="F58" s="227">
        <f t="shared" si="26"/>
        <v>0</v>
      </c>
      <c r="G58" s="227">
        <f t="shared" si="26"/>
        <v>0</v>
      </c>
      <c r="H58" s="227">
        <f t="shared" si="26"/>
        <v>0</v>
      </c>
      <c r="I58" s="227">
        <f t="shared" si="26"/>
        <v>0</v>
      </c>
      <c r="J58" s="227">
        <f t="shared" si="26"/>
        <v>0</v>
      </c>
    </row>
    <row r="59" spans="1:10" hidden="1" x14ac:dyDescent="0.25">
      <c r="A59" s="225"/>
      <c r="B59" s="226" t="s">
        <v>225</v>
      </c>
      <c r="C59" s="1010"/>
      <c r="D59" s="227">
        <f>D60</f>
        <v>331685200</v>
      </c>
      <c r="E59" s="227">
        <f t="shared" si="26"/>
        <v>0</v>
      </c>
      <c r="F59" s="227">
        <f t="shared" si="26"/>
        <v>0</v>
      </c>
      <c r="G59" s="227">
        <f t="shared" si="26"/>
        <v>0</v>
      </c>
      <c r="H59" s="227">
        <f t="shared" si="26"/>
        <v>0</v>
      </c>
      <c r="I59" s="227">
        <f t="shared" si="26"/>
        <v>0</v>
      </c>
      <c r="J59" s="227">
        <f t="shared" si="26"/>
        <v>0</v>
      </c>
    </row>
    <row r="60" spans="1:10" hidden="1" x14ac:dyDescent="0.25">
      <c r="A60" s="225"/>
      <c r="B60" s="226" t="s">
        <v>177</v>
      </c>
      <c r="C60" s="1010"/>
      <c r="D60" s="227">
        <f>'таблица (всего)'!D40</f>
        <v>331685200</v>
      </c>
      <c r="E60" s="227">
        <f>'таблица (всего)'!E40</f>
        <v>0</v>
      </c>
      <c r="F60" s="227">
        <f>'таблица (всего)'!F40</f>
        <v>0</v>
      </c>
      <c r="G60" s="227">
        <f>'таблица (всего)'!G40</f>
        <v>0</v>
      </c>
      <c r="H60" s="227">
        <f>'таблица (всего)'!H40</f>
        <v>0</v>
      </c>
      <c r="I60" s="227">
        <f>'таблица (всего)'!I40</f>
        <v>0</v>
      </c>
      <c r="J60" s="227">
        <f>'таблица (всего)'!J40</f>
        <v>0</v>
      </c>
    </row>
    <row r="61" spans="1:10" hidden="1" x14ac:dyDescent="0.25">
      <c r="A61" s="225"/>
      <c r="B61" s="226" t="s">
        <v>178</v>
      </c>
      <c r="C61" s="1010"/>
      <c r="D61" s="228" t="s">
        <v>227</v>
      </c>
      <c r="E61" s="228" t="s">
        <v>227</v>
      </c>
      <c r="F61" s="228" t="s">
        <v>227</v>
      </c>
      <c r="G61" s="228" t="s">
        <v>227</v>
      </c>
      <c r="H61" s="228" t="s">
        <v>227</v>
      </c>
      <c r="I61" s="228" t="s">
        <v>227</v>
      </c>
      <c r="J61" s="228" t="s">
        <v>227</v>
      </c>
    </row>
    <row r="62" spans="1:10" ht="127.5" hidden="1" x14ac:dyDescent="0.25">
      <c r="A62" s="230" t="s">
        <v>243</v>
      </c>
      <c r="B62" s="226" t="str">
        <f>'таблица (всего)'!C41</f>
        <v xml:space="preserve">Иной межбюджетный трансферт бюджету территориального фонда обязательного медицинского страхования Ивановской области на финансовое обеспечение скорой медицинской помощи (за исключением специализированной (санитарно-авиационной) скорой медицинской помощи) сверх базовой программы обязательного медицинского страхования
</v>
      </c>
      <c r="C62" s="225" t="s">
        <v>180</v>
      </c>
      <c r="D62" s="227">
        <f>D63</f>
        <v>29666100</v>
      </c>
      <c r="E62" s="227">
        <f t="shared" ref="E62:J63" si="27">E63</f>
        <v>0</v>
      </c>
      <c r="F62" s="227">
        <f t="shared" si="27"/>
        <v>0</v>
      </c>
      <c r="G62" s="227">
        <f t="shared" si="27"/>
        <v>0</v>
      </c>
      <c r="H62" s="227">
        <f t="shared" si="27"/>
        <v>0</v>
      </c>
      <c r="I62" s="227">
        <f t="shared" si="27"/>
        <v>0</v>
      </c>
      <c r="J62" s="227">
        <f t="shared" si="27"/>
        <v>0</v>
      </c>
    </row>
    <row r="63" spans="1:10" hidden="1" x14ac:dyDescent="0.25">
      <c r="A63" s="225"/>
      <c r="B63" s="226" t="s">
        <v>225</v>
      </c>
      <c r="C63" s="1010"/>
      <c r="D63" s="227">
        <f>D64</f>
        <v>29666100</v>
      </c>
      <c r="E63" s="227">
        <f t="shared" si="27"/>
        <v>0</v>
      </c>
      <c r="F63" s="227">
        <f t="shared" si="27"/>
        <v>0</v>
      </c>
      <c r="G63" s="227">
        <f t="shared" si="27"/>
        <v>0</v>
      </c>
      <c r="H63" s="227">
        <f t="shared" si="27"/>
        <v>0</v>
      </c>
      <c r="I63" s="227">
        <f t="shared" si="27"/>
        <v>0</v>
      </c>
      <c r="J63" s="227">
        <f t="shared" si="27"/>
        <v>0</v>
      </c>
    </row>
    <row r="64" spans="1:10" hidden="1" x14ac:dyDescent="0.25">
      <c r="A64" s="225"/>
      <c r="B64" s="226" t="s">
        <v>177</v>
      </c>
      <c r="C64" s="1010"/>
      <c r="D64" s="227">
        <f>'таблица (всего)'!D41</f>
        <v>29666100</v>
      </c>
      <c r="E64" s="227">
        <f>'таблица (всего)'!E41</f>
        <v>0</v>
      </c>
      <c r="F64" s="227">
        <f>'таблица (всего)'!F41</f>
        <v>0</v>
      </c>
      <c r="G64" s="227">
        <f>'таблица (всего)'!G41</f>
        <v>0</v>
      </c>
      <c r="H64" s="227">
        <f>'таблица (всего)'!H41</f>
        <v>0</v>
      </c>
      <c r="I64" s="227">
        <f>'таблица (всего)'!I41</f>
        <v>0</v>
      </c>
      <c r="J64" s="227">
        <f>'таблица (всего)'!J41</f>
        <v>0</v>
      </c>
    </row>
    <row r="65" spans="1:10" hidden="1" x14ac:dyDescent="0.25">
      <c r="A65" s="225"/>
      <c r="B65" s="226" t="s">
        <v>178</v>
      </c>
      <c r="C65" s="1010"/>
      <c r="D65" s="228" t="s">
        <v>227</v>
      </c>
      <c r="E65" s="228" t="s">
        <v>227</v>
      </c>
      <c r="F65" s="228" t="s">
        <v>227</v>
      </c>
      <c r="G65" s="228" t="s">
        <v>227</v>
      </c>
      <c r="H65" s="228" t="s">
        <v>227</v>
      </c>
      <c r="I65" s="228" t="s">
        <v>227</v>
      </c>
      <c r="J65" s="228" t="s">
        <v>227</v>
      </c>
    </row>
    <row r="66" spans="1:10" ht="51" hidden="1" x14ac:dyDescent="0.25">
      <c r="A66" s="225" t="s">
        <v>233</v>
      </c>
      <c r="B66" s="229" t="str">
        <f>'таблица (всего)'!C42</f>
        <v xml:space="preserve">«Обеспечение лекарственными препаратами во исполнение судебных актов» </v>
      </c>
      <c r="C66" s="225" t="s">
        <v>180</v>
      </c>
      <c r="D66" s="227">
        <f>D67</f>
        <v>32998000</v>
      </c>
      <c r="E66" s="227">
        <f t="shared" ref="E66:J67" si="28">E67</f>
        <v>0</v>
      </c>
      <c r="F66" s="227">
        <f t="shared" si="28"/>
        <v>0</v>
      </c>
      <c r="G66" s="227">
        <f t="shared" si="28"/>
        <v>0</v>
      </c>
      <c r="H66" s="227">
        <f t="shared" si="28"/>
        <v>0</v>
      </c>
      <c r="I66" s="227">
        <f t="shared" si="28"/>
        <v>0</v>
      </c>
      <c r="J66" s="227">
        <f t="shared" si="28"/>
        <v>0</v>
      </c>
    </row>
    <row r="67" spans="1:10" hidden="1" x14ac:dyDescent="0.25">
      <c r="A67" s="225"/>
      <c r="B67" s="226" t="s">
        <v>225</v>
      </c>
      <c r="C67" s="1010"/>
      <c r="D67" s="227">
        <f>D68</f>
        <v>32998000</v>
      </c>
      <c r="E67" s="227">
        <f t="shared" si="28"/>
        <v>0</v>
      </c>
      <c r="F67" s="227">
        <f t="shared" si="28"/>
        <v>0</v>
      </c>
      <c r="G67" s="227">
        <f t="shared" si="28"/>
        <v>0</v>
      </c>
      <c r="H67" s="227">
        <f t="shared" si="28"/>
        <v>0</v>
      </c>
      <c r="I67" s="227">
        <f t="shared" si="28"/>
        <v>0</v>
      </c>
      <c r="J67" s="227">
        <f t="shared" si="28"/>
        <v>0</v>
      </c>
    </row>
    <row r="68" spans="1:10" hidden="1" x14ac:dyDescent="0.25">
      <c r="A68" s="225"/>
      <c r="B68" s="226" t="s">
        <v>177</v>
      </c>
      <c r="C68" s="1010"/>
      <c r="D68" s="227">
        <f>D72</f>
        <v>32998000</v>
      </c>
      <c r="E68" s="227">
        <f t="shared" ref="E68:J68" si="29">E72</f>
        <v>0</v>
      </c>
      <c r="F68" s="227">
        <f t="shared" si="29"/>
        <v>0</v>
      </c>
      <c r="G68" s="227">
        <f t="shared" si="29"/>
        <v>0</v>
      </c>
      <c r="H68" s="227">
        <f t="shared" si="29"/>
        <v>0</v>
      </c>
      <c r="I68" s="227">
        <f t="shared" si="29"/>
        <v>0</v>
      </c>
      <c r="J68" s="227">
        <f t="shared" si="29"/>
        <v>0</v>
      </c>
    </row>
    <row r="69" spans="1:10" hidden="1" x14ac:dyDescent="0.25">
      <c r="A69" s="225"/>
      <c r="B69" s="226" t="s">
        <v>178</v>
      </c>
      <c r="C69" s="1010"/>
      <c r="D69" s="228" t="s">
        <v>227</v>
      </c>
      <c r="E69" s="228" t="s">
        <v>227</v>
      </c>
      <c r="F69" s="228" t="s">
        <v>227</v>
      </c>
      <c r="G69" s="228" t="s">
        <v>227</v>
      </c>
      <c r="H69" s="228" t="s">
        <v>227</v>
      </c>
      <c r="I69" s="228" t="s">
        <v>227</v>
      </c>
      <c r="J69" s="228" t="s">
        <v>227</v>
      </c>
    </row>
    <row r="70" spans="1:10" ht="89.25" hidden="1" x14ac:dyDescent="0.25">
      <c r="A70" s="230" t="s">
        <v>244</v>
      </c>
      <c r="B70" s="229" t="str">
        <f>'таблица (всего)'!C43</f>
        <v xml:space="preserve">Проведение мероприятий по организации приобретения и выдачи соответствующих лекарственных препаратов, изделий медицинского назначения, лечебного питания для лечения в государственных учреждениях здравоохранения
</v>
      </c>
      <c r="C70" s="225" t="s">
        <v>180</v>
      </c>
      <c r="D70" s="227">
        <f>D71</f>
        <v>32998000</v>
      </c>
      <c r="E70" s="227">
        <f t="shared" ref="E70:J71" si="30">E71</f>
        <v>0</v>
      </c>
      <c r="F70" s="227">
        <f t="shared" si="30"/>
        <v>0</v>
      </c>
      <c r="G70" s="227">
        <f t="shared" si="30"/>
        <v>0</v>
      </c>
      <c r="H70" s="227">
        <f t="shared" si="30"/>
        <v>0</v>
      </c>
      <c r="I70" s="227">
        <f t="shared" si="30"/>
        <v>0</v>
      </c>
      <c r="J70" s="227">
        <f t="shared" si="30"/>
        <v>0</v>
      </c>
    </row>
    <row r="71" spans="1:10" hidden="1" x14ac:dyDescent="0.25">
      <c r="A71" s="225"/>
      <c r="B71" s="226" t="s">
        <v>225</v>
      </c>
      <c r="C71" s="1010"/>
      <c r="D71" s="227">
        <f>D72</f>
        <v>32998000</v>
      </c>
      <c r="E71" s="227">
        <f t="shared" si="30"/>
        <v>0</v>
      </c>
      <c r="F71" s="227">
        <f t="shared" si="30"/>
        <v>0</v>
      </c>
      <c r="G71" s="227">
        <f t="shared" si="30"/>
        <v>0</v>
      </c>
      <c r="H71" s="227">
        <f t="shared" si="30"/>
        <v>0</v>
      </c>
      <c r="I71" s="227">
        <f t="shared" si="30"/>
        <v>0</v>
      </c>
      <c r="J71" s="227">
        <f t="shared" si="30"/>
        <v>0</v>
      </c>
    </row>
    <row r="72" spans="1:10" hidden="1" x14ac:dyDescent="0.25">
      <c r="A72" s="225"/>
      <c r="B72" s="226" t="s">
        <v>177</v>
      </c>
      <c r="C72" s="1010"/>
      <c r="D72" s="227">
        <f>'таблица (всего)'!D43</f>
        <v>32998000</v>
      </c>
      <c r="E72" s="227">
        <f>'таблица (всего)'!E43</f>
        <v>0</v>
      </c>
      <c r="F72" s="227">
        <f>'таблица (всего)'!F43</f>
        <v>0</v>
      </c>
      <c r="G72" s="227">
        <f>'таблица (всего)'!G43</f>
        <v>0</v>
      </c>
      <c r="H72" s="227">
        <f>'таблица (всего)'!H43</f>
        <v>0</v>
      </c>
      <c r="I72" s="227">
        <f>'таблица (всего)'!I43</f>
        <v>0</v>
      </c>
      <c r="J72" s="227">
        <f>'таблица (всего)'!J43</f>
        <v>0</v>
      </c>
    </row>
    <row r="73" spans="1:10" hidden="1" x14ac:dyDescent="0.25">
      <c r="A73" s="225"/>
      <c r="B73" s="226" t="s">
        <v>178</v>
      </c>
      <c r="C73" s="1010"/>
      <c r="D73" s="228" t="s">
        <v>227</v>
      </c>
      <c r="E73" s="228" t="s">
        <v>227</v>
      </c>
      <c r="F73" s="228" t="s">
        <v>227</v>
      </c>
      <c r="G73" s="228" t="s">
        <v>227</v>
      </c>
      <c r="H73" s="228" t="s">
        <v>227</v>
      </c>
      <c r="I73" s="228" t="s">
        <v>227</v>
      </c>
      <c r="J73" s="228" t="s">
        <v>227</v>
      </c>
    </row>
  </sheetData>
  <mergeCells count="19">
    <mergeCell ref="C67:C69"/>
    <mergeCell ref="C71:C73"/>
    <mergeCell ref="C19:C21"/>
    <mergeCell ref="C31:C33"/>
    <mergeCell ref="C35:C37"/>
    <mergeCell ref="C39:C41"/>
    <mergeCell ref="C43:C45"/>
    <mergeCell ref="C27:C29"/>
    <mergeCell ref="C47:C49"/>
    <mergeCell ref="C51:C53"/>
    <mergeCell ref="C55:C57"/>
    <mergeCell ref="I1:J1"/>
    <mergeCell ref="C7:C9"/>
    <mergeCell ref="C11:C13"/>
    <mergeCell ref="C59:C61"/>
    <mergeCell ref="C63:C65"/>
    <mergeCell ref="A2:J2"/>
    <mergeCell ref="A3:J3"/>
    <mergeCell ref="C15:C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7"/>
  <sheetViews>
    <sheetView topLeftCell="A13" zoomScale="90" zoomScaleNormal="90" workbookViewId="0">
      <selection activeCell="H10" sqref="H10"/>
    </sheetView>
  </sheetViews>
  <sheetFormatPr defaultRowHeight="15" x14ac:dyDescent="0.25"/>
  <cols>
    <col min="1" max="1" width="4.140625" style="76" customWidth="1"/>
    <col min="2" max="2" width="45" style="219" customWidth="1"/>
    <col min="3" max="3" width="16.140625" style="76" customWidth="1"/>
    <col min="4" max="5" width="16.7109375" style="77" hidden="1" customWidth="1"/>
    <col min="6" max="6" width="16.7109375" style="77" customWidth="1"/>
    <col min="7" max="10" width="16.7109375" customWidth="1"/>
  </cols>
  <sheetData>
    <row r="1" spans="1:17" ht="92.25" customHeight="1" x14ac:dyDescent="0.25">
      <c r="A1" s="232"/>
      <c r="C1" s="232"/>
      <c r="D1" s="235"/>
      <c r="E1" s="218"/>
      <c r="F1" s="218"/>
      <c r="G1" s="236"/>
      <c r="H1" s="236"/>
      <c r="I1" s="1011" t="s">
        <v>183</v>
      </c>
      <c r="J1" s="1011"/>
    </row>
    <row r="2" spans="1:17" ht="24.75" customHeight="1" x14ac:dyDescent="0.25">
      <c r="A2" s="1012" t="s">
        <v>184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20"/>
      <c r="C4" s="233"/>
      <c r="D4" s="233"/>
      <c r="E4" s="233"/>
      <c r="F4" s="235"/>
      <c r="G4" s="236"/>
      <c r="H4" s="236"/>
      <c r="I4" s="236"/>
      <c r="J4" s="79" t="s">
        <v>172</v>
      </c>
    </row>
    <row r="5" spans="1:17" ht="25.5" x14ac:dyDescent="0.25">
      <c r="A5" s="223" t="s">
        <v>173</v>
      </c>
      <c r="B5" s="224" t="s">
        <v>223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6" t="s">
        <v>224</v>
      </c>
      <c r="C6" s="237"/>
      <c r="D6" s="227">
        <f>D7</f>
        <v>1057835667.34</v>
      </c>
      <c r="E6" s="227">
        <f t="shared" ref="E6:J6" si="0">E7</f>
        <v>821524363.00999999</v>
      </c>
      <c r="F6" s="313">
        <f t="shared" si="0"/>
        <v>810146866.33000004</v>
      </c>
      <c r="G6" s="313">
        <f t="shared" si="0"/>
        <v>533072468.30000001</v>
      </c>
      <c r="H6" s="313">
        <f t="shared" si="0"/>
        <v>533220078.19</v>
      </c>
      <c r="I6" s="313">
        <f t="shared" si="0"/>
        <v>533269174.81999999</v>
      </c>
      <c r="J6" s="313">
        <f t="shared" si="0"/>
        <v>535484480.31</v>
      </c>
      <c r="K6" s="222">
        <f>D6-'таблица (всего)'!D44</f>
        <v>0</v>
      </c>
      <c r="L6" s="222">
        <f>E6-'таблица (всего)'!E44</f>
        <v>0</v>
      </c>
      <c r="M6" s="222">
        <f>F6-'таблица (всего)'!F44</f>
        <v>-399999.99999988079</v>
      </c>
      <c r="N6" s="222">
        <f>G6-'таблица (всего)'!G44</f>
        <v>-26801758.23999995</v>
      </c>
      <c r="O6" s="222">
        <f>H6-'таблица (всего)'!H44</f>
        <v>-25161648.349999964</v>
      </c>
      <c r="P6" s="222">
        <f>I6-'таблица (всего)'!I44</f>
        <v>-24614505.48999995</v>
      </c>
      <c r="Q6" s="222">
        <f>J6-'таблица (всего)'!J44</f>
        <v>0</v>
      </c>
    </row>
    <row r="7" spans="1:17" x14ac:dyDescent="0.25">
      <c r="A7" s="225"/>
      <c r="B7" s="226" t="s">
        <v>225</v>
      </c>
      <c r="C7" s="1015"/>
      <c r="D7" s="227">
        <f>D8+D9</f>
        <v>1057835667.34</v>
      </c>
      <c r="E7" s="227">
        <f t="shared" ref="E7:J7" si="1">E8+E9</f>
        <v>821524363.00999999</v>
      </c>
      <c r="F7" s="313">
        <f t="shared" si="1"/>
        <v>810146866.33000004</v>
      </c>
      <c r="G7" s="313">
        <f t="shared" si="1"/>
        <v>533072468.30000001</v>
      </c>
      <c r="H7" s="313">
        <f t="shared" si="1"/>
        <v>533220078.19</v>
      </c>
      <c r="I7" s="313">
        <f t="shared" si="1"/>
        <v>533269174.81999999</v>
      </c>
      <c r="J7" s="313">
        <f t="shared" si="1"/>
        <v>535484480.31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5"/>
      <c r="B8" s="226" t="s">
        <v>177</v>
      </c>
      <c r="C8" s="1015"/>
      <c r="D8" s="227">
        <f t="shared" ref="D8:J8" si="2">D12+D60</f>
        <v>784716700</v>
      </c>
      <c r="E8" s="227">
        <f t="shared" si="2"/>
        <v>590321463.00999999</v>
      </c>
      <c r="F8" s="313">
        <f t="shared" si="2"/>
        <v>605937766.33000004</v>
      </c>
      <c r="G8" s="313">
        <f t="shared" si="2"/>
        <v>533072468.30000001</v>
      </c>
      <c r="H8" s="313">
        <f t="shared" si="2"/>
        <v>533220078.19</v>
      </c>
      <c r="I8" s="313">
        <f t="shared" si="2"/>
        <v>533269174.81999999</v>
      </c>
      <c r="J8" s="313">
        <f t="shared" si="2"/>
        <v>535484480.31</v>
      </c>
      <c r="K8" s="222">
        <f>D8-'таблица (всего)'!D46</f>
        <v>0</v>
      </c>
      <c r="L8" s="222">
        <f>E8-'таблица (всего)'!E46</f>
        <v>0</v>
      </c>
      <c r="M8" s="222">
        <f>F8-'таблица (всего)'!F46</f>
        <v>-399999.99999988079</v>
      </c>
      <c r="N8" s="222">
        <f>G8-'таблица (всего)'!G46</f>
        <v>-2412158.2399999499</v>
      </c>
      <c r="O8" s="222">
        <f>H8-'таблица (всего)'!H46</f>
        <v>-2264548.3499999642</v>
      </c>
      <c r="P8" s="222">
        <f>I8-'таблица (всего)'!I46</f>
        <v>-2215305.4899999499</v>
      </c>
      <c r="Q8" s="222">
        <f>J8-'таблица (всего)'!J46</f>
        <v>0</v>
      </c>
    </row>
    <row r="9" spans="1:17" x14ac:dyDescent="0.25">
      <c r="A9" s="225"/>
      <c r="B9" s="226" t="s">
        <v>178</v>
      </c>
      <c r="C9" s="1015"/>
      <c r="D9" s="227">
        <f t="shared" ref="D9:J9" si="3">D13+D53+D61</f>
        <v>273118967.34000003</v>
      </c>
      <c r="E9" s="227">
        <f t="shared" si="3"/>
        <v>231202900</v>
      </c>
      <c r="F9" s="313">
        <f t="shared" si="3"/>
        <v>204209100</v>
      </c>
      <c r="G9" s="313">
        <f t="shared" si="3"/>
        <v>0</v>
      </c>
      <c r="H9" s="313">
        <f t="shared" si="3"/>
        <v>0</v>
      </c>
      <c r="I9" s="313">
        <f t="shared" si="3"/>
        <v>0</v>
      </c>
      <c r="J9" s="313">
        <f t="shared" si="3"/>
        <v>0</v>
      </c>
      <c r="K9" s="222">
        <f>D9-'таблица (всего)'!D45</f>
        <v>0</v>
      </c>
      <c r="L9" s="222">
        <f>E9-'таблица (всего)'!E45</f>
        <v>0</v>
      </c>
      <c r="M9" s="222">
        <f>F9-'таблица (всего)'!F45</f>
        <v>0</v>
      </c>
      <c r="N9" s="222">
        <f>G9-'таблица (всего)'!G45</f>
        <v>-24389600</v>
      </c>
      <c r="O9" s="222">
        <f>H9-'таблица (всего)'!H45</f>
        <v>-22897100</v>
      </c>
      <c r="P9" s="222">
        <f>I9-'таблица (всего)'!I45</f>
        <v>-22399200</v>
      </c>
      <c r="Q9" s="222">
        <f>J9-'таблица (всего)'!J45</f>
        <v>0</v>
      </c>
    </row>
    <row r="10" spans="1:17" ht="51" x14ac:dyDescent="0.25">
      <c r="A10" s="225" t="s">
        <v>228</v>
      </c>
      <c r="B10" s="229" t="str">
        <f>'таблица (всего)'!C47</f>
        <v>«Специализированная медицинская помощь»</v>
      </c>
      <c r="C10" s="237" t="s">
        <v>180</v>
      </c>
      <c r="D10" s="227">
        <f>D11</f>
        <v>790036027.80999994</v>
      </c>
      <c r="E10" s="227">
        <f t="shared" ref="E10:J10" si="4">E11</f>
        <v>584743898.37</v>
      </c>
      <c r="F10" s="313">
        <f t="shared" si="4"/>
        <v>597474357.63</v>
      </c>
      <c r="G10" s="313">
        <f t="shared" si="4"/>
        <v>520777634.04000002</v>
      </c>
      <c r="H10" s="313">
        <f t="shared" si="4"/>
        <v>520777634.04000002</v>
      </c>
      <c r="I10" s="313">
        <f t="shared" si="4"/>
        <v>520777588.81</v>
      </c>
      <c r="J10" s="313">
        <f t="shared" si="4"/>
        <v>520777588.81</v>
      </c>
    </row>
    <row r="11" spans="1:17" x14ac:dyDescent="0.25">
      <c r="A11" s="225"/>
      <c r="B11" s="226" t="s">
        <v>225</v>
      </c>
      <c r="C11" s="1015"/>
      <c r="D11" s="227">
        <f>D12+D13</f>
        <v>790036027.80999994</v>
      </c>
      <c r="E11" s="227">
        <f t="shared" ref="E11:J11" si="5">E12+E13</f>
        <v>584743898.37</v>
      </c>
      <c r="F11" s="313">
        <f t="shared" si="5"/>
        <v>597474357.63</v>
      </c>
      <c r="G11" s="313">
        <f t="shared" si="5"/>
        <v>520777634.04000002</v>
      </c>
      <c r="H11" s="313">
        <f t="shared" si="5"/>
        <v>520777634.04000002</v>
      </c>
      <c r="I11" s="313">
        <f t="shared" si="5"/>
        <v>520777588.81</v>
      </c>
      <c r="J11" s="313">
        <f t="shared" si="5"/>
        <v>520777588.81</v>
      </c>
    </row>
    <row r="12" spans="1:17" x14ac:dyDescent="0.25">
      <c r="A12" s="225"/>
      <c r="B12" s="226" t="s">
        <v>177</v>
      </c>
      <c r="C12" s="1015"/>
      <c r="D12" s="227">
        <f t="shared" ref="D12:J12" si="6">D16+D20+D24+D28+D32+D36+D44</f>
        <v>758093000</v>
      </c>
      <c r="E12" s="227">
        <f t="shared" si="6"/>
        <v>573402598.37</v>
      </c>
      <c r="F12" s="313">
        <f t="shared" si="6"/>
        <v>587710857.63</v>
      </c>
      <c r="G12" s="313">
        <f t="shared" si="6"/>
        <v>520777634.04000002</v>
      </c>
      <c r="H12" s="313">
        <f t="shared" si="6"/>
        <v>520777634.04000002</v>
      </c>
      <c r="I12" s="313">
        <f t="shared" si="6"/>
        <v>520777588.81</v>
      </c>
      <c r="J12" s="313">
        <f t="shared" si="6"/>
        <v>520777588.81</v>
      </c>
    </row>
    <row r="13" spans="1:17" x14ac:dyDescent="0.25">
      <c r="A13" s="225"/>
      <c r="B13" s="226" t="s">
        <v>178</v>
      </c>
      <c r="C13" s="1015"/>
      <c r="D13" s="227">
        <f t="shared" ref="D13:J13" si="7">D41+D49</f>
        <v>31943027.809999999</v>
      </c>
      <c r="E13" s="227">
        <f t="shared" si="7"/>
        <v>11341300</v>
      </c>
      <c r="F13" s="313">
        <f t="shared" si="7"/>
        <v>9763500</v>
      </c>
      <c r="G13" s="313">
        <f t="shared" si="7"/>
        <v>0</v>
      </c>
      <c r="H13" s="313">
        <f t="shared" si="7"/>
        <v>0</v>
      </c>
      <c r="I13" s="313">
        <f t="shared" si="7"/>
        <v>0</v>
      </c>
      <c r="J13" s="313">
        <f t="shared" si="7"/>
        <v>0</v>
      </c>
    </row>
    <row r="14" spans="1:17" ht="63.75" x14ac:dyDescent="0.25">
      <c r="A14" s="230" t="s">
        <v>234</v>
      </c>
      <c r="B14" s="229" t="str">
        <f>'таблица (всего)'!C48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14" s="237" t="s">
        <v>180</v>
      </c>
      <c r="D14" s="227">
        <f>D15</f>
        <v>48322900</v>
      </c>
      <c r="E14" s="227">
        <f t="shared" ref="E14:J15" si="8">E15</f>
        <v>28786000.07</v>
      </c>
      <c r="F14" s="313">
        <f t="shared" si="8"/>
        <v>70338619.329999998</v>
      </c>
      <c r="G14" s="313">
        <f t="shared" si="8"/>
        <v>70338619.329999998</v>
      </c>
      <c r="H14" s="313">
        <f t="shared" si="8"/>
        <v>70338619.329999998</v>
      </c>
      <c r="I14" s="313">
        <f t="shared" si="8"/>
        <v>70338619.329999998</v>
      </c>
      <c r="J14" s="313">
        <f t="shared" si="8"/>
        <v>70338619.329999998</v>
      </c>
    </row>
    <row r="15" spans="1:17" x14ac:dyDescent="0.25">
      <c r="A15" s="225"/>
      <c r="B15" s="226" t="s">
        <v>225</v>
      </c>
      <c r="C15" s="1015"/>
      <c r="D15" s="227">
        <f>D16</f>
        <v>48322900</v>
      </c>
      <c r="E15" s="227">
        <f t="shared" si="8"/>
        <v>28786000.07</v>
      </c>
      <c r="F15" s="313">
        <f t="shared" si="8"/>
        <v>70338619.329999998</v>
      </c>
      <c r="G15" s="313">
        <f t="shared" si="8"/>
        <v>70338619.329999998</v>
      </c>
      <c r="H15" s="313">
        <f t="shared" si="8"/>
        <v>70338619.329999998</v>
      </c>
      <c r="I15" s="313">
        <f t="shared" si="8"/>
        <v>70338619.329999998</v>
      </c>
      <c r="J15" s="313">
        <f t="shared" si="8"/>
        <v>70338619.329999998</v>
      </c>
    </row>
    <row r="16" spans="1:17" x14ac:dyDescent="0.25">
      <c r="A16" s="225"/>
      <c r="B16" s="226" t="s">
        <v>177</v>
      </c>
      <c r="C16" s="1015"/>
      <c r="D16" s="227">
        <f>'таблица (всего)'!D48</f>
        <v>48322900</v>
      </c>
      <c r="E16" s="227">
        <f>'таблица (всего)'!E48</f>
        <v>28786000.07</v>
      </c>
      <c r="F16" s="313">
        <f>'таблица (всего)'!F48</f>
        <v>70338619.329999998</v>
      </c>
      <c r="G16" s="313">
        <f>'таблица (всего)'!G48</f>
        <v>70338619.329999998</v>
      </c>
      <c r="H16" s="313">
        <f>'таблица (всего)'!H48</f>
        <v>70338619.329999998</v>
      </c>
      <c r="I16" s="313">
        <f>'таблица (всего)'!I48</f>
        <v>70338619.329999998</v>
      </c>
      <c r="J16" s="313">
        <f>'таблица (всего)'!J48</f>
        <v>70338619.329999998</v>
      </c>
    </row>
    <row r="17" spans="1:10" x14ac:dyDescent="0.25">
      <c r="A17" s="225"/>
      <c r="B17" s="226" t="s">
        <v>178</v>
      </c>
      <c r="C17" s="1015"/>
      <c r="D17" s="228" t="s">
        <v>227</v>
      </c>
      <c r="E17" s="228" t="s">
        <v>227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</row>
    <row r="18" spans="1:10" ht="51" x14ac:dyDescent="0.25">
      <c r="A18" s="230" t="s">
        <v>235</v>
      </c>
      <c r="B18" s="229" t="str">
        <f>'таблица (всего)'!C49</f>
        <v>Оказание специализированной медицинской помощи в стационарных условиях</v>
      </c>
      <c r="C18" s="237" t="s">
        <v>180</v>
      </c>
      <c r="D18" s="227">
        <f>D19</f>
        <v>603160100</v>
      </c>
      <c r="E18" s="227">
        <f t="shared" ref="E18:J19" si="9">E19</f>
        <v>519964506.77999997</v>
      </c>
      <c r="F18" s="313">
        <f t="shared" si="9"/>
        <v>478277335.5</v>
      </c>
      <c r="G18" s="313">
        <f t="shared" si="9"/>
        <v>415864838.10000002</v>
      </c>
      <c r="H18" s="313">
        <f t="shared" si="9"/>
        <v>415864838.10000002</v>
      </c>
      <c r="I18" s="313">
        <f t="shared" si="9"/>
        <v>415864827.44</v>
      </c>
      <c r="J18" s="313">
        <f t="shared" si="9"/>
        <v>415864827.44</v>
      </c>
    </row>
    <row r="19" spans="1:10" x14ac:dyDescent="0.25">
      <c r="A19" s="225"/>
      <c r="B19" s="226" t="s">
        <v>225</v>
      </c>
      <c r="C19" s="1015"/>
      <c r="D19" s="227">
        <f>D20</f>
        <v>603160100</v>
      </c>
      <c r="E19" s="227">
        <f t="shared" si="9"/>
        <v>519964506.77999997</v>
      </c>
      <c r="F19" s="313">
        <f t="shared" si="9"/>
        <v>478277335.5</v>
      </c>
      <c r="G19" s="313">
        <f t="shared" si="9"/>
        <v>415864838.10000002</v>
      </c>
      <c r="H19" s="313">
        <f t="shared" si="9"/>
        <v>415864838.10000002</v>
      </c>
      <c r="I19" s="313">
        <f t="shared" si="9"/>
        <v>415864827.44</v>
      </c>
      <c r="J19" s="313">
        <f t="shared" si="9"/>
        <v>415864827.44</v>
      </c>
    </row>
    <row r="20" spans="1:10" x14ac:dyDescent="0.25">
      <c r="A20" s="225"/>
      <c r="B20" s="226" t="s">
        <v>177</v>
      </c>
      <c r="C20" s="1015"/>
      <c r="D20" s="227">
        <f>'таблица (всего)'!D49</f>
        <v>603160100</v>
      </c>
      <c r="E20" s="227">
        <f>'таблица (всего)'!E49</f>
        <v>519964506.77999997</v>
      </c>
      <c r="F20" s="313">
        <f>'таблица (всего)'!F49</f>
        <v>478277335.5</v>
      </c>
      <c r="G20" s="313">
        <f>'таблица (всего)'!G49</f>
        <v>415864838.10000002</v>
      </c>
      <c r="H20" s="313">
        <f>'таблица (всего)'!H49</f>
        <v>415864838.10000002</v>
      </c>
      <c r="I20" s="313">
        <f>'таблица (всего)'!I49</f>
        <v>415864827.44</v>
      </c>
      <c r="J20" s="313">
        <f>'таблица (всего)'!J49</f>
        <v>415864827.44</v>
      </c>
    </row>
    <row r="21" spans="1:10" x14ac:dyDescent="0.25">
      <c r="A21" s="225"/>
      <c r="B21" s="226" t="s">
        <v>178</v>
      </c>
      <c r="C21" s="1015"/>
      <c r="D21" s="228" t="s">
        <v>227</v>
      </c>
      <c r="E21" s="228" t="s">
        <v>227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</row>
    <row r="22" spans="1:10" ht="51" x14ac:dyDescent="0.25">
      <c r="A22" s="230" t="s">
        <v>246</v>
      </c>
      <c r="B22" s="229" t="str">
        <f>'таблица (всего)'!C50</f>
        <v xml:space="preserve">Проведение патологоанатомических вскрытий </v>
      </c>
      <c r="C22" s="237" t="s">
        <v>180</v>
      </c>
      <c r="D22" s="227">
        <f>D23</f>
        <v>0</v>
      </c>
      <c r="E22" s="227">
        <f t="shared" ref="E22:J23" si="10">E23</f>
        <v>0</v>
      </c>
      <c r="F22" s="313">
        <f t="shared" si="10"/>
        <v>15210959.310000001</v>
      </c>
      <c r="G22" s="313">
        <f t="shared" si="10"/>
        <v>13953093.43</v>
      </c>
      <c r="H22" s="313">
        <f t="shared" si="10"/>
        <v>13953093.43</v>
      </c>
      <c r="I22" s="313">
        <f t="shared" si="10"/>
        <v>13953107.560000001</v>
      </c>
      <c r="J22" s="313">
        <f t="shared" si="10"/>
        <v>13953107.560000001</v>
      </c>
    </row>
    <row r="23" spans="1:10" x14ac:dyDescent="0.25">
      <c r="A23" s="225"/>
      <c r="B23" s="226" t="s">
        <v>225</v>
      </c>
      <c r="C23" s="1015"/>
      <c r="D23" s="227">
        <f>D24</f>
        <v>0</v>
      </c>
      <c r="E23" s="227">
        <f t="shared" si="10"/>
        <v>0</v>
      </c>
      <c r="F23" s="313">
        <f t="shared" si="10"/>
        <v>15210959.310000001</v>
      </c>
      <c r="G23" s="313">
        <f t="shared" si="10"/>
        <v>13953093.43</v>
      </c>
      <c r="H23" s="313">
        <f t="shared" si="10"/>
        <v>13953093.43</v>
      </c>
      <c r="I23" s="313">
        <f t="shared" si="10"/>
        <v>13953107.560000001</v>
      </c>
      <c r="J23" s="313">
        <f t="shared" si="10"/>
        <v>13953107.560000001</v>
      </c>
    </row>
    <row r="24" spans="1:10" x14ac:dyDescent="0.25">
      <c r="A24" s="225"/>
      <c r="B24" s="226" t="s">
        <v>177</v>
      </c>
      <c r="C24" s="1015"/>
      <c r="D24" s="227">
        <f>'таблица (всего)'!D50</f>
        <v>0</v>
      </c>
      <c r="E24" s="227">
        <f>'таблица (всего)'!E50</f>
        <v>0</v>
      </c>
      <c r="F24" s="313">
        <f>'таблица (всего)'!F50</f>
        <v>15210959.310000001</v>
      </c>
      <c r="G24" s="313">
        <f>'таблица (всего)'!G50</f>
        <v>13953093.43</v>
      </c>
      <c r="H24" s="313">
        <f>'таблица (всего)'!H50</f>
        <v>13953093.43</v>
      </c>
      <c r="I24" s="313">
        <f>'таблица (всего)'!I50</f>
        <v>13953107.560000001</v>
      </c>
      <c r="J24" s="313">
        <f>'таблица (всего)'!J50</f>
        <v>13953107.560000001</v>
      </c>
    </row>
    <row r="25" spans="1:10" x14ac:dyDescent="0.25">
      <c r="A25" s="225"/>
      <c r="B25" s="226" t="s">
        <v>178</v>
      </c>
      <c r="C25" s="1015"/>
      <c r="D25" s="228" t="s">
        <v>227</v>
      </c>
      <c r="E25" s="228" t="s">
        <v>227</v>
      </c>
      <c r="F25" s="313">
        <v>0</v>
      </c>
      <c r="G25" s="313">
        <v>0</v>
      </c>
      <c r="H25" s="313">
        <v>0</v>
      </c>
      <c r="I25" s="313">
        <v>0</v>
      </c>
      <c r="J25" s="313">
        <v>0</v>
      </c>
    </row>
    <row r="26" spans="1:10" ht="51" x14ac:dyDescent="0.25">
      <c r="A26" s="230" t="s">
        <v>247</v>
      </c>
      <c r="B26" s="229" t="str">
        <f>'таблица (всего)'!C51</f>
        <v>Оказание специализированной медицинской помощи в условиях дневного стационара</v>
      </c>
      <c r="C26" s="225" t="s">
        <v>180</v>
      </c>
      <c r="D26" s="227">
        <f>D27</f>
        <v>27786000</v>
      </c>
      <c r="E26" s="227">
        <f t="shared" ref="E26:J27" si="11">E27</f>
        <v>24652091.52</v>
      </c>
      <c r="F26" s="313">
        <f t="shared" si="11"/>
        <v>23883943.489999998</v>
      </c>
      <c r="G26" s="313">
        <f t="shared" si="11"/>
        <v>20621083.18</v>
      </c>
      <c r="H26" s="313">
        <f t="shared" si="11"/>
        <v>20621083.18</v>
      </c>
      <c r="I26" s="313">
        <f t="shared" si="11"/>
        <v>20621034.48</v>
      </c>
      <c r="J26" s="313">
        <f t="shared" si="11"/>
        <v>20621034.48</v>
      </c>
    </row>
    <row r="27" spans="1:10" x14ac:dyDescent="0.25">
      <c r="A27" s="225"/>
      <c r="B27" s="226" t="s">
        <v>225</v>
      </c>
      <c r="C27" s="1010"/>
      <c r="D27" s="227">
        <f>D28</f>
        <v>27786000</v>
      </c>
      <c r="E27" s="227">
        <f t="shared" si="11"/>
        <v>24652091.52</v>
      </c>
      <c r="F27" s="313">
        <f t="shared" si="11"/>
        <v>23883943.489999998</v>
      </c>
      <c r="G27" s="313">
        <f t="shared" si="11"/>
        <v>20621083.18</v>
      </c>
      <c r="H27" s="313">
        <f t="shared" si="11"/>
        <v>20621083.18</v>
      </c>
      <c r="I27" s="313">
        <f t="shared" si="11"/>
        <v>20621034.48</v>
      </c>
      <c r="J27" s="313">
        <f t="shared" si="11"/>
        <v>20621034.48</v>
      </c>
    </row>
    <row r="28" spans="1:10" x14ac:dyDescent="0.25">
      <c r="A28" s="225"/>
      <c r="B28" s="226" t="s">
        <v>177</v>
      </c>
      <c r="C28" s="1010"/>
      <c r="D28" s="227">
        <f>'таблица (всего)'!D51</f>
        <v>27786000</v>
      </c>
      <c r="E28" s="227">
        <f>'таблица (всего)'!E51</f>
        <v>24652091.52</v>
      </c>
      <c r="F28" s="313">
        <f>'таблица (всего)'!F51</f>
        <v>23883943.489999998</v>
      </c>
      <c r="G28" s="313">
        <f>'таблица (всего)'!G51</f>
        <v>20621083.18</v>
      </c>
      <c r="H28" s="313">
        <f>'таблица (всего)'!H51</f>
        <v>20621083.18</v>
      </c>
      <c r="I28" s="313">
        <f>'таблица (всего)'!I51</f>
        <v>20621034.48</v>
      </c>
      <c r="J28" s="313">
        <f>'таблица (всего)'!J51</f>
        <v>20621034.48</v>
      </c>
    </row>
    <row r="29" spans="1:10" x14ac:dyDescent="0.25">
      <c r="A29" s="225"/>
      <c r="B29" s="226" t="s">
        <v>178</v>
      </c>
      <c r="C29" s="1010"/>
      <c r="D29" s="228" t="s">
        <v>227</v>
      </c>
      <c r="E29" s="228" t="s">
        <v>227</v>
      </c>
      <c r="F29" s="313">
        <v>0</v>
      </c>
      <c r="G29" s="313">
        <v>0</v>
      </c>
      <c r="H29" s="313">
        <v>0</v>
      </c>
      <c r="I29" s="313">
        <v>0</v>
      </c>
      <c r="J29" s="313">
        <v>0</v>
      </c>
    </row>
    <row r="30" spans="1:10" ht="51" hidden="1" x14ac:dyDescent="0.25">
      <c r="A30" s="230" t="s">
        <v>248</v>
      </c>
      <c r="B30" s="229" t="str">
        <f>'таблица (всего)'!C52</f>
        <v>Оказание высокотехнолгичной медицинской помощи</v>
      </c>
      <c r="C30" s="237" t="s">
        <v>180</v>
      </c>
      <c r="D30" s="227">
        <f>D31</f>
        <v>66341200</v>
      </c>
      <c r="E30" s="227">
        <f t="shared" ref="E30:J31" si="12">E31</f>
        <v>0</v>
      </c>
      <c r="F30" s="313">
        <f t="shared" si="12"/>
        <v>0</v>
      </c>
      <c r="G30" s="313">
        <f t="shared" si="12"/>
        <v>0</v>
      </c>
      <c r="H30" s="313">
        <f t="shared" si="12"/>
        <v>0</v>
      </c>
      <c r="I30" s="313">
        <f t="shared" si="12"/>
        <v>0</v>
      </c>
      <c r="J30" s="313">
        <f t="shared" si="12"/>
        <v>0</v>
      </c>
    </row>
    <row r="31" spans="1:10" hidden="1" x14ac:dyDescent="0.25">
      <c r="A31" s="225"/>
      <c r="B31" s="226" t="s">
        <v>225</v>
      </c>
      <c r="C31" s="1015"/>
      <c r="D31" s="227">
        <f>D32</f>
        <v>66341200</v>
      </c>
      <c r="E31" s="227">
        <f t="shared" si="12"/>
        <v>0</v>
      </c>
      <c r="F31" s="313">
        <f t="shared" si="12"/>
        <v>0</v>
      </c>
      <c r="G31" s="313">
        <f t="shared" si="12"/>
        <v>0</v>
      </c>
      <c r="H31" s="313">
        <f t="shared" si="12"/>
        <v>0</v>
      </c>
      <c r="I31" s="313">
        <f t="shared" si="12"/>
        <v>0</v>
      </c>
      <c r="J31" s="313">
        <f t="shared" si="12"/>
        <v>0</v>
      </c>
    </row>
    <row r="32" spans="1:10" hidden="1" x14ac:dyDescent="0.25">
      <c r="A32" s="225"/>
      <c r="B32" s="226" t="s">
        <v>177</v>
      </c>
      <c r="C32" s="1015"/>
      <c r="D32" s="227">
        <f>'таблица (всего)'!D52</f>
        <v>66341200</v>
      </c>
      <c r="E32" s="227">
        <f>'таблица (всего)'!E52</f>
        <v>0</v>
      </c>
      <c r="F32" s="313">
        <f>'таблица (всего)'!F52</f>
        <v>0</v>
      </c>
      <c r="G32" s="313">
        <f>'таблица (всего)'!G52</f>
        <v>0</v>
      </c>
      <c r="H32" s="313">
        <f>'таблица (всего)'!H52</f>
        <v>0</v>
      </c>
      <c r="I32" s="313">
        <f>'таблица (всего)'!I52</f>
        <v>0</v>
      </c>
      <c r="J32" s="313">
        <f>'таблица (всего)'!J52</f>
        <v>0</v>
      </c>
    </row>
    <row r="33" spans="1:10" hidden="1" x14ac:dyDescent="0.25">
      <c r="A33" s="225"/>
      <c r="B33" s="226" t="s">
        <v>178</v>
      </c>
      <c r="C33" s="1015"/>
      <c r="D33" s="228" t="s">
        <v>227</v>
      </c>
      <c r="E33" s="228" t="s">
        <v>227</v>
      </c>
      <c r="F33" s="313">
        <v>0</v>
      </c>
      <c r="G33" s="313">
        <v>0</v>
      </c>
      <c r="H33" s="313">
        <v>0</v>
      </c>
      <c r="I33" s="313">
        <v>0</v>
      </c>
      <c r="J33" s="313"/>
    </row>
    <row r="34" spans="1:10" ht="51" hidden="1" x14ac:dyDescent="0.25">
      <c r="A34" s="230" t="s">
        <v>249</v>
      </c>
      <c r="B34" s="229" t="str">
        <f>'таблица (всего)'!C53</f>
        <v>Оказание скорой медицинской помощи</v>
      </c>
      <c r="C34" s="225" t="s">
        <v>180</v>
      </c>
      <c r="D34" s="227">
        <f>D35</f>
        <v>11160400</v>
      </c>
      <c r="E34" s="227">
        <f t="shared" ref="E34:J35" si="13">E35</f>
        <v>0</v>
      </c>
      <c r="F34" s="313">
        <f t="shared" si="13"/>
        <v>0</v>
      </c>
      <c r="G34" s="313">
        <f t="shared" si="13"/>
        <v>0</v>
      </c>
      <c r="H34" s="313">
        <f t="shared" si="13"/>
        <v>0</v>
      </c>
      <c r="I34" s="313">
        <f t="shared" si="13"/>
        <v>0</v>
      </c>
      <c r="J34" s="313">
        <f t="shared" si="13"/>
        <v>0</v>
      </c>
    </row>
    <row r="35" spans="1:10" hidden="1" x14ac:dyDescent="0.25">
      <c r="A35" s="225"/>
      <c r="B35" s="226" t="s">
        <v>225</v>
      </c>
      <c r="C35" s="1010"/>
      <c r="D35" s="227">
        <f>D36</f>
        <v>11160400</v>
      </c>
      <c r="E35" s="227">
        <f t="shared" si="13"/>
        <v>0</v>
      </c>
      <c r="F35" s="313">
        <f t="shared" si="13"/>
        <v>0</v>
      </c>
      <c r="G35" s="313">
        <f t="shared" si="13"/>
        <v>0</v>
      </c>
      <c r="H35" s="313">
        <f t="shared" si="13"/>
        <v>0</v>
      </c>
      <c r="I35" s="313">
        <f t="shared" si="13"/>
        <v>0</v>
      </c>
      <c r="J35" s="313">
        <f t="shared" si="13"/>
        <v>0</v>
      </c>
    </row>
    <row r="36" spans="1:10" hidden="1" x14ac:dyDescent="0.25">
      <c r="A36" s="225"/>
      <c r="B36" s="226" t="s">
        <v>177</v>
      </c>
      <c r="C36" s="1010"/>
      <c r="D36" s="227">
        <f>'таблица (всего)'!D53</f>
        <v>11160400</v>
      </c>
      <c r="E36" s="227">
        <f>'таблица (всего)'!E53</f>
        <v>0</v>
      </c>
      <c r="F36" s="313">
        <f>'таблица (всего)'!F53</f>
        <v>0</v>
      </c>
      <c r="G36" s="313">
        <f>'таблица (всего)'!G53</f>
        <v>0</v>
      </c>
      <c r="H36" s="313">
        <f>'таблица (всего)'!H53</f>
        <v>0</v>
      </c>
      <c r="I36" s="313">
        <f>'таблица (всего)'!I53</f>
        <v>0</v>
      </c>
      <c r="J36" s="313">
        <f>'таблица (всего)'!J53</f>
        <v>0</v>
      </c>
    </row>
    <row r="37" spans="1:10" hidden="1" x14ac:dyDescent="0.25">
      <c r="A37" s="225"/>
      <c r="B37" s="226" t="s">
        <v>178</v>
      </c>
      <c r="C37" s="1010"/>
      <c r="D37" s="228" t="s">
        <v>227</v>
      </c>
      <c r="E37" s="228" t="s">
        <v>227</v>
      </c>
      <c r="F37" s="313">
        <v>0</v>
      </c>
      <c r="G37" s="313">
        <v>0</v>
      </c>
      <c r="H37" s="313">
        <v>0</v>
      </c>
      <c r="I37" s="313">
        <v>0</v>
      </c>
      <c r="J37" s="313">
        <v>0</v>
      </c>
    </row>
    <row r="38" spans="1:10" ht="127.5" x14ac:dyDescent="0.25">
      <c r="A38" s="230" t="s">
        <v>250</v>
      </c>
      <c r="B38" s="229" t="str">
        <f>'таблица (всего)'!C54</f>
        <v>Финансовое обеспечение закупок антибактериальных и противотуберкулёзных лекарственных препаратов (второго ряда), применяемых при лечении больных туберкулёзом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туберкулёза и мониторинга лечения больных туберкулёзом с множественной лекарственной устойчивостью возбудителя</v>
      </c>
      <c r="C38" s="237" t="s">
        <v>180</v>
      </c>
      <c r="D38" s="227">
        <f>D39</f>
        <v>21906627.809999999</v>
      </c>
      <c r="E38" s="227">
        <f t="shared" ref="E38:J38" si="14">E39</f>
        <v>11341300</v>
      </c>
      <c r="F38" s="313">
        <f t="shared" si="14"/>
        <v>9763500</v>
      </c>
      <c r="G38" s="313">
        <f t="shared" si="14"/>
        <v>0</v>
      </c>
      <c r="H38" s="313">
        <f t="shared" si="14"/>
        <v>0</v>
      </c>
      <c r="I38" s="313">
        <f t="shared" si="14"/>
        <v>0</v>
      </c>
      <c r="J38" s="313">
        <f t="shared" si="14"/>
        <v>0</v>
      </c>
    </row>
    <row r="39" spans="1:10" x14ac:dyDescent="0.25">
      <c r="A39" s="225"/>
      <c r="B39" s="226" t="s">
        <v>225</v>
      </c>
      <c r="C39" s="1015"/>
      <c r="D39" s="227">
        <f>D41</f>
        <v>21906627.809999999</v>
      </c>
      <c r="E39" s="227">
        <f t="shared" ref="E39:J39" si="15">E41</f>
        <v>11341300</v>
      </c>
      <c r="F39" s="313">
        <f t="shared" si="15"/>
        <v>9763500</v>
      </c>
      <c r="G39" s="313">
        <f t="shared" si="15"/>
        <v>0</v>
      </c>
      <c r="H39" s="313">
        <f t="shared" si="15"/>
        <v>0</v>
      </c>
      <c r="I39" s="313">
        <f t="shared" si="15"/>
        <v>0</v>
      </c>
      <c r="J39" s="313">
        <f t="shared" si="15"/>
        <v>0</v>
      </c>
    </row>
    <row r="40" spans="1:10" x14ac:dyDescent="0.25">
      <c r="A40" s="225"/>
      <c r="B40" s="226" t="s">
        <v>177</v>
      </c>
      <c r="C40" s="1015"/>
      <c r="D40" s="228" t="s">
        <v>227</v>
      </c>
      <c r="E40" s="228" t="s">
        <v>227</v>
      </c>
      <c r="F40" s="313">
        <v>0</v>
      </c>
      <c r="G40" s="313">
        <v>0</v>
      </c>
      <c r="H40" s="313">
        <v>0</v>
      </c>
      <c r="I40" s="313">
        <v>0</v>
      </c>
      <c r="J40" s="313">
        <v>0</v>
      </c>
    </row>
    <row r="41" spans="1:10" x14ac:dyDescent="0.25">
      <c r="A41" s="225"/>
      <c r="B41" s="226" t="s">
        <v>178</v>
      </c>
      <c r="C41" s="1015"/>
      <c r="D41" s="227">
        <f>'таблица (всего)'!D54</f>
        <v>21906627.809999999</v>
      </c>
      <c r="E41" s="227">
        <f>'таблица (всего)'!E54</f>
        <v>11341300</v>
      </c>
      <c r="F41" s="313">
        <f>'таблица (всего)'!F54</f>
        <v>9763500</v>
      </c>
      <c r="G41" s="313">
        <f>'таблица (всего)'!G54</f>
        <v>0</v>
      </c>
      <c r="H41" s="313">
        <f>'таблица (всего)'!H54</f>
        <v>0</v>
      </c>
      <c r="I41" s="313">
        <f>'таблица (всего)'!I54</f>
        <v>0</v>
      </c>
      <c r="J41" s="313">
        <f>'таблица (всего)'!J54</f>
        <v>0</v>
      </c>
    </row>
    <row r="42" spans="1:10" ht="51" hidden="1" x14ac:dyDescent="0.25">
      <c r="A42" s="230" t="s">
        <v>251</v>
      </c>
      <c r="B42" s="226" t="str">
        <f>'таблица (всего)'!C55</f>
        <v xml:space="preserve">Оплата лечения при оказании высокотехнологичной медицинской помощи в федеральных учреждениях здравоохранения
</v>
      </c>
      <c r="C42" s="237" t="s">
        <v>180</v>
      </c>
      <c r="D42" s="227">
        <f>D43</f>
        <v>1322400</v>
      </c>
      <c r="E42" s="227">
        <f t="shared" ref="E42:J43" si="16">E43</f>
        <v>0</v>
      </c>
      <c r="F42" s="313">
        <f t="shared" si="16"/>
        <v>0</v>
      </c>
      <c r="G42" s="313">
        <f t="shared" si="16"/>
        <v>0</v>
      </c>
      <c r="H42" s="313">
        <f t="shared" si="16"/>
        <v>0</v>
      </c>
      <c r="I42" s="313">
        <f t="shared" si="16"/>
        <v>0</v>
      </c>
      <c r="J42" s="313">
        <f t="shared" si="16"/>
        <v>0</v>
      </c>
    </row>
    <row r="43" spans="1:10" hidden="1" x14ac:dyDescent="0.25">
      <c r="A43" s="225"/>
      <c r="B43" s="226" t="s">
        <v>225</v>
      </c>
      <c r="C43" s="1015"/>
      <c r="D43" s="227">
        <f>D44</f>
        <v>1322400</v>
      </c>
      <c r="E43" s="227">
        <f t="shared" si="16"/>
        <v>0</v>
      </c>
      <c r="F43" s="313">
        <f t="shared" si="16"/>
        <v>0</v>
      </c>
      <c r="G43" s="313">
        <f t="shared" si="16"/>
        <v>0</v>
      </c>
      <c r="H43" s="313">
        <f t="shared" si="16"/>
        <v>0</v>
      </c>
      <c r="I43" s="313">
        <f t="shared" si="16"/>
        <v>0</v>
      </c>
      <c r="J43" s="313">
        <f t="shared" si="16"/>
        <v>0</v>
      </c>
    </row>
    <row r="44" spans="1:10" hidden="1" x14ac:dyDescent="0.25">
      <c r="A44" s="225"/>
      <c r="B44" s="226" t="s">
        <v>177</v>
      </c>
      <c r="C44" s="1015"/>
      <c r="D44" s="227">
        <f>'таблица (всего)'!D55</f>
        <v>1322400</v>
      </c>
      <c r="E44" s="227">
        <f>'таблица (всего)'!E55</f>
        <v>0</v>
      </c>
      <c r="F44" s="313">
        <f>'таблица (всего)'!F55</f>
        <v>0</v>
      </c>
      <c r="G44" s="313">
        <f>'таблица (всего)'!G55</f>
        <v>0</v>
      </c>
      <c r="H44" s="313">
        <f>'таблица (всего)'!H55</f>
        <v>0</v>
      </c>
      <c r="I44" s="313">
        <f>'таблица (всего)'!I55</f>
        <v>0</v>
      </c>
      <c r="J44" s="313">
        <f>'таблица (всего)'!J55</f>
        <v>0</v>
      </c>
    </row>
    <row r="45" spans="1:10" hidden="1" x14ac:dyDescent="0.25">
      <c r="A45" s="225"/>
      <c r="B45" s="226" t="s">
        <v>178</v>
      </c>
      <c r="C45" s="1015"/>
      <c r="D45" s="228" t="s">
        <v>227</v>
      </c>
      <c r="E45" s="228" t="s">
        <v>227</v>
      </c>
      <c r="F45" s="313">
        <v>0</v>
      </c>
      <c r="G45" s="313">
        <v>0</v>
      </c>
      <c r="H45" s="313">
        <v>0</v>
      </c>
      <c r="I45" s="313">
        <v>0</v>
      </c>
      <c r="J45" s="313">
        <v>0</v>
      </c>
    </row>
    <row r="46" spans="1:10" ht="51" hidden="1" x14ac:dyDescent="0.25">
      <c r="A46" s="230" t="s">
        <v>252</v>
      </c>
      <c r="B46" s="226" t="str">
        <f>'таблица (всего)'!C56</f>
        <v xml:space="preserve">Мероприятия по оказанию высокотехнологичных видов медицинской помощи
</v>
      </c>
      <c r="C46" s="237" t="s">
        <v>180</v>
      </c>
      <c r="D46" s="227">
        <f>D47</f>
        <v>10036400</v>
      </c>
      <c r="E46" s="227">
        <f t="shared" ref="E46:J46" si="17">E47</f>
        <v>0</v>
      </c>
      <c r="F46" s="313">
        <f t="shared" si="17"/>
        <v>0</v>
      </c>
      <c r="G46" s="313">
        <f t="shared" si="17"/>
        <v>0</v>
      </c>
      <c r="H46" s="313">
        <f t="shared" si="17"/>
        <v>0</v>
      </c>
      <c r="I46" s="313">
        <f t="shared" si="17"/>
        <v>0</v>
      </c>
      <c r="J46" s="313">
        <f t="shared" si="17"/>
        <v>0</v>
      </c>
    </row>
    <row r="47" spans="1:10" hidden="1" x14ac:dyDescent="0.25">
      <c r="A47" s="225"/>
      <c r="B47" s="226" t="s">
        <v>225</v>
      </c>
      <c r="C47" s="1015"/>
      <c r="D47" s="227">
        <f>D49</f>
        <v>10036400</v>
      </c>
      <c r="E47" s="227">
        <f t="shared" ref="E47:J47" si="18">E49</f>
        <v>0</v>
      </c>
      <c r="F47" s="313">
        <f t="shared" si="18"/>
        <v>0</v>
      </c>
      <c r="G47" s="313">
        <f t="shared" si="18"/>
        <v>0</v>
      </c>
      <c r="H47" s="313">
        <f t="shared" si="18"/>
        <v>0</v>
      </c>
      <c r="I47" s="313">
        <f t="shared" si="18"/>
        <v>0</v>
      </c>
      <c r="J47" s="313">
        <f t="shared" si="18"/>
        <v>0</v>
      </c>
    </row>
    <row r="48" spans="1:10" hidden="1" x14ac:dyDescent="0.25">
      <c r="A48" s="225"/>
      <c r="B48" s="226" t="s">
        <v>177</v>
      </c>
      <c r="C48" s="1015"/>
      <c r="D48" s="228" t="s">
        <v>227</v>
      </c>
      <c r="E48" s="228" t="s">
        <v>227</v>
      </c>
      <c r="F48" s="313">
        <v>0</v>
      </c>
      <c r="G48" s="313">
        <v>0</v>
      </c>
      <c r="H48" s="313">
        <v>0</v>
      </c>
      <c r="I48" s="313">
        <v>0</v>
      </c>
      <c r="J48" s="313">
        <v>0</v>
      </c>
    </row>
    <row r="49" spans="1:10" hidden="1" x14ac:dyDescent="0.25">
      <c r="A49" s="225"/>
      <c r="B49" s="226" t="s">
        <v>178</v>
      </c>
      <c r="C49" s="1015"/>
      <c r="D49" s="227">
        <f>'таблица (всего)'!D56</f>
        <v>10036400</v>
      </c>
      <c r="E49" s="227">
        <f>'таблица (всего)'!E56</f>
        <v>0</v>
      </c>
      <c r="F49" s="313">
        <f>'таблица (всего)'!F56</f>
        <v>0</v>
      </c>
      <c r="G49" s="313">
        <f>'таблица (всего)'!G56</f>
        <v>0</v>
      </c>
      <c r="H49" s="313">
        <f>'таблица (всего)'!H56</f>
        <v>0</v>
      </c>
      <c r="I49" s="313">
        <f>'таблица (всего)'!I56</f>
        <v>0</v>
      </c>
      <c r="J49" s="313">
        <f>'таблица (всего)'!J56</f>
        <v>0</v>
      </c>
    </row>
    <row r="50" spans="1:10" ht="76.5" x14ac:dyDescent="0.25">
      <c r="A50" s="225" t="s">
        <v>229</v>
      </c>
      <c r="B50" s="229" t="str">
        <f>'таблица (всего)'!C57</f>
        <v>«Обследование населения с целью выявления туберкулеза, лечения больных туберкулезом, обеспечение закупок диагностических средств для выявления и мониторинга лечения лиц, инфицированных вирусами иммунодефицита человека и гепатитов В и С»</v>
      </c>
      <c r="C50" s="225" t="s">
        <v>180</v>
      </c>
      <c r="D50" s="227">
        <f>D51</f>
        <v>48462500</v>
      </c>
      <c r="E50" s="227">
        <f t="shared" ref="E50:J50" si="19">E51</f>
        <v>15666300</v>
      </c>
      <c r="F50" s="313">
        <f t="shared" si="19"/>
        <v>13843200</v>
      </c>
      <c r="G50" s="313">
        <f t="shared" si="19"/>
        <v>0</v>
      </c>
      <c r="H50" s="313">
        <f t="shared" si="19"/>
        <v>0</v>
      </c>
      <c r="I50" s="313">
        <f t="shared" si="19"/>
        <v>0</v>
      </c>
      <c r="J50" s="313">
        <f t="shared" si="19"/>
        <v>0</v>
      </c>
    </row>
    <row r="51" spans="1:10" x14ac:dyDescent="0.25">
      <c r="A51" s="225"/>
      <c r="B51" s="226" t="s">
        <v>225</v>
      </c>
      <c r="C51" s="1010"/>
      <c r="D51" s="227">
        <f>D53</f>
        <v>48462500</v>
      </c>
      <c r="E51" s="227">
        <f t="shared" ref="E51:J51" si="20">E53</f>
        <v>15666300</v>
      </c>
      <c r="F51" s="313">
        <f t="shared" si="20"/>
        <v>13843200</v>
      </c>
      <c r="G51" s="313">
        <f t="shared" si="20"/>
        <v>0</v>
      </c>
      <c r="H51" s="313">
        <f t="shared" si="20"/>
        <v>0</v>
      </c>
      <c r="I51" s="313">
        <f t="shared" si="20"/>
        <v>0</v>
      </c>
      <c r="J51" s="313">
        <f t="shared" si="20"/>
        <v>0</v>
      </c>
    </row>
    <row r="52" spans="1:10" x14ac:dyDescent="0.25">
      <c r="A52" s="225"/>
      <c r="B52" s="226" t="s">
        <v>177</v>
      </c>
      <c r="C52" s="1010"/>
      <c r="D52" s="228" t="s">
        <v>227</v>
      </c>
      <c r="E52" s="228" t="s">
        <v>227</v>
      </c>
      <c r="F52" s="313">
        <v>0</v>
      </c>
      <c r="G52" s="313">
        <v>0</v>
      </c>
      <c r="H52" s="313">
        <v>0</v>
      </c>
      <c r="I52" s="313">
        <v>0</v>
      </c>
      <c r="J52" s="313">
        <v>0</v>
      </c>
    </row>
    <row r="53" spans="1:10" x14ac:dyDescent="0.25">
      <c r="A53" s="225"/>
      <c r="B53" s="226" t="s">
        <v>178</v>
      </c>
      <c r="C53" s="1010"/>
      <c r="D53" s="227">
        <f>D57</f>
        <v>48462500</v>
      </c>
      <c r="E53" s="227">
        <f t="shared" ref="E53:J53" si="21">E57</f>
        <v>15666300</v>
      </c>
      <c r="F53" s="313">
        <f t="shared" si="21"/>
        <v>13843200</v>
      </c>
      <c r="G53" s="313">
        <f t="shared" si="21"/>
        <v>0</v>
      </c>
      <c r="H53" s="313">
        <f t="shared" si="21"/>
        <v>0</v>
      </c>
      <c r="I53" s="313">
        <f t="shared" si="21"/>
        <v>0</v>
      </c>
      <c r="J53" s="313">
        <f t="shared" si="21"/>
        <v>0</v>
      </c>
    </row>
    <row r="54" spans="1:10" ht="51" x14ac:dyDescent="0.25">
      <c r="A54" s="230" t="s">
        <v>236</v>
      </c>
      <c r="B54" s="229" t="str">
        <f>'таблица (всего)'!C58</f>
        <v xml:space="preserve">Реализация отдельных мероприятий государственной программы Российской Федерации  «Развитие здравоохранения»
</v>
      </c>
      <c r="C54" s="225" t="s">
        <v>180</v>
      </c>
      <c r="D54" s="227">
        <f>D55</f>
        <v>48462500</v>
      </c>
      <c r="E54" s="227">
        <f t="shared" ref="E54:J54" si="22">E55</f>
        <v>15666300</v>
      </c>
      <c r="F54" s="313">
        <f t="shared" si="22"/>
        <v>13843200</v>
      </c>
      <c r="G54" s="313">
        <f t="shared" si="22"/>
        <v>0</v>
      </c>
      <c r="H54" s="313">
        <f t="shared" si="22"/>
        <v>0</v>
      </c>
      <c r="I54" s="313">
        <f t="shared" si="22"/>
        <v>0</v>
      </c>
      <c r="J54" s="313">
        <f t="shared" si="22"/>
        <v>0</v>
      </c>
    </row>
    <row r="55" spans="1:10" x14ac:dyDescent="0.25">
      <c r="A55" s="225"/>
      <c r="B55" s="226" t="s">
        <v>225</v>
      </c>
      <c r="C55" s="1010"/>
      <c r="D55" s="227">
        <f>D57</f>
        <v>48462500</v>
      </c>
      <c r="E55" s="227">
        <f t="shared" ref="E55:J55" si="23">E57</f>
        <v>15666300</v>
      </c>
      <c r="F55" s="313">
        <f t="shared" si="23"/>
        <v>13843200</v>
      </c>
      <c r="G55" s="313">
        <f t="shared" si="23"/>
        <v>0</v>
      </c>
      <c r="H55" s="313">
        <f t="shared" si="23"/>
        <v>0</v>
      </c>
      <c r="I55" s="313">
        <f t="shared" si="23"/>
        <v>0</v>
      </c>
      <c r="J55" s="313">
        <f t="shared" si="23"/>
        <v>0</v>
      </c>
    </row>
    <row r="56" spans="1:10" x14ac:dyDescent="0.25">
      <c r="A56" s="225"/>
      <c r="B56" s="226" t="s">
        <v>177</v>
      </c>
      <c r="C56" s="1010"/>
      <c r="D56" s="228" t="s">
        <v>227</v>
      </c>
      <c r="E56" s="228" t="s">
        <v>227</v>
      </c>
      <c r="F56" s="313">
        <v>0</v>
      </c>
      <c r="G56" s="313">
        <v>0</v>
      </c>
      <c r="H56" s="313">
        <v>0</v>
      </c>
      <c r="I56" s="313">
        <v>0</v>
      </c>
      <c r="J56" s="313">
        <v>0</v>
      </c>
    </row>
    <row r="57" spans="1:10" x14ac:dyDescent="0.25">
      <c r="A57" s="225"/>
      <c r="B57" s="226" t="s">
        <v>178</v>
      </c>
      <c r="C57" s="1010"/>
      <c r="D57" s="227">
        <f>'таблица (всего)'!D58</f>
        <v>48462500</v>
      </c>
      <c r="E57" s="227">
        <f>'таблица (всего)'!E58</f>
        <v>15666300</v>
      </c>
      <c r="F57" s="313">
        <f>'таблица (всего)'!F58</f>
        <v>13843200</v>
      </c>
      <c r="G57" s="313">
        <f>'таблица (всего)'!G58</f>
        <v>0</v>
      </c>
      <c r="H57" s="313">
        <f>'таблица (всего)'!H58</f>
        <v>0</v>
      </c>
      <c r="I57" s="313">
        <f>'таблица (всего)'!I58</f>
        <v>0</v>
      </c>
      <c r="J57" s="313">
        <f>'таблица (всего)'!J58</f>
        <v>0</v>
      </c>
    </row>
    <row r="58" spans="1:10" ht="51" x14ac:dyDescent="0.25">
      <c r="A58" s="225" t="s">
        <v>231</v>
      </c>
      <c r="B58" s="229" t="str">
        <f>'таблица (всего)'!C60</f>
        <v>«Совершенствование оказания медицинской помощи лицам, инфицированным вирусом иммунодефицита человека, гепатитами В и С»</v>
      </c>
      <c r="C58" s="225" t="s">
        <v>180</v>
      </c>
      <c r="D58" s="227">
        <f>D59</f>
        <v>219337139.53</v>
      </c>
      <c r="E58" s="227">
        <f t="shared" ref="E58:J58" si="24">E59</f>
        <v>221114164.63999999</v>
      </c>
      <c r="F58" s="313">
        <f t="shared" si="24"/>
        <v>198829308.69999999</v>
      </c>
      <c r="G58" s="313">
        <f t="shared" si="24"/>
        <v>12294834.26</v>
      </c>
      <c r="H58" s="313">
        <f t="shared" si="24"/>
        <v>12442444.15</v>
      </c>
      <c r="I58" s="313">
        <f t="shared" si="24"/>
        <v>12491586.01</v>
      </c>
      <c r="J58" s="313">
        <f t="shared" si="24"/>
        <v>14706891.5</v>
      </c>
    </row>
    <row r="59" spans="1:10" x14ac:dyDescent="0.25">
      <c r="A59" s="225"/>
      <c r="B59" s="226" t="s">
        <v>225</v>
      </c>
      <c r="C59" s="1010"/>
      <c r="D59" s="227">
        <f>D60+D61</f>
        <v>219337139.53</v>
      </c>
      <c r="E59" s="227">
        <f t="shared" ref="E59:J59" si="25">E60+E61</f>
        <v>221114164.63999999</v>
      </c>
      <c r="F59" s="313">
        <f t="shared" si="25"/>
        <v>198829308.69999999</v>
      </c>
      <c r="G59" s="313">
        <f t="shared" si="25"/>
        <v>12294834.26</v>
      </c>
      <c r="H59" s="313">
        <f t="shared" si="25"/>
        <v>12442444.15</v>
      </c>
      <c r="I59" s="313">
        <f t="shared" si="25"/>
        <v>12491586.01</v>
      </c>
      <c r="J59" s="313">
        <f t="shared" si="25"/>
        <v>14706891.5</v>
      </c>
    </row>
    <row r="60" spans="1:10" x14ac:dyDescent="0.25">
      <c r="A60" s="225"/>
      <c r="B60" s="226" t="s">
        <v>177</v>
      </c>
      <c r="C60" s="1010"/>
      <c r="D60" s="227">
        <f t="shared" ref="D60:J60" si="26">D64+D68</f>
        <v>26623700</v>
      </c>
      <c r="E60" s="227">
        <f t="shared" si="26"/>
        <v>16918864.640000001</v>
      </c>
      <c r="F60" s="313">
        <f t="shared" si="26"/>
        <v>18226908.699999999</v>
      </c>
      <c r="G60" s="313">
        <f t="shared" si="26"/>
        <v>12294834.26</v>
      </c>
      <c r="H60" s="313">
        <f t="shared" si="26"/>
        <v>12442444.15</v>
      </c>
      <c r="I60" s="313">
        <f t="shared" si="26"/>
        <v>12491586.01</v>
      </c>
      <c r="J60" s="313">
        <f t="shared" si="26"/>
        <v>14706891.5</v>
      </c>
    </row>
    <row r="61" spans="1:10" x14ac:dyDescent="0.25">
      <c r="A61" s="225"/>
      <c r="B61" s="226" t="s">
        <v>178</v>
      </c>
      <c r="C61" s="1010"/>
      <c r="D61" s="227">
        <f t="shared" ref="D61:J61" si="27">D73+D77</f>
        <v>192713439.53</v>
      </c>
      <c r="E61" s="227">
        <f t="shared" si="27"/>
        <v>204195300</v>
      </c>
      <c r="F61" s="313">
        <f t="shared" si="27"/>
        <v>180602400</v>
      </c>
      <c r="G61" s="313">
        <f t="shared" si="27"/>
        <v>0</v>
      </c>
      <c r="H61" s="313">
        <f t="shared" si="27"/>
        <v>0</v>
      </c>
      <c r="I61" s="313">
        <f t="shared" si="27"/>
        <v>0</v>
      </c>
      <c r="J61" s="313">
        <f t="shared" si="27"/>
        <v>0</v>
      </c>
    </row>
    <row r="62" spans="1:10" ht="63.75" x14ac:dyDescent="0.25">
      <c r="A62" s="230" t="s">
        <v>238</v>
      </c>
      <c r="B62" s="229" t="str">
        <f>'таблица (всего)'!C61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62" s="225" t="s">
        <v>180</v>
      </c>
      <c r="D62" s="227">
        <f>D63</f>
        <v>1671400</v>
      </c>
      <c r="E62" s="227">
        <f t="shared" ref="E62:J63" si="28">E63</f>
        <v>700000.04</v>
      </c>
      <c r="F62" s="313">
        <f t="shared" si="28"/>
        <v>1648040</v>
      </c>
      <c r="G62" s="313">
        <f t="shared" si="28"/>
        <v>1648040</v>
      </c>
      <c r="H62" s="313">
        <f t="shared" si="28"/>
        <v>1648040</v>
      </c>
      <c r="I62" s="313">
        <f t="shared" si="28"/>
        <v>1648040</v>
      </c>
      <c r="J62" s="313">
        <f t="shared" si="28"/>
        <v>1648040</v>
      </c>
    </row>
    <row r="63" spans="1:10" x14ac:dyDescent="0.25">
      <c r="A63" s="225"/>
      <c r="B63" s="226" t="s">
        <v>225</v>
      </c>
      <c r="C63" s="1010"/>
      <c r="D63" s="227">
        <f>D64</f>
        <v>1671400</v>
      </c>
      <c r="E63" s="227">
        <f t="shared" si="28"/>
        <v>700000.04</v>
      </c>
      <c r="F63" s="313">
        <f t="shared" si="28"/>
        <v>1648040</v>
      </c>
      <c r="G63" s="313">
        <f t="shared" si="28"/>
        <v>1648040</v>
      </c>
      <c r="H63" s="313">
        <f t="shared" si="28"/>
        <v>1648040</v>
      </c>
      <c r="I63" s="313">
        <f t="shared" si="28"/>
        <v>1648040</v>
      </c>
      <c r="J63" s="313">
        <f t="shared" si="28"/>
        <v>1648040</v>
      </c>
    </row>
    <row r="64" spans="1:10" x14ac:dyDescent="0.25">
      <c r="A64" s="225"/>
      <c r="B64" s="226" t="s">
        <v>177</v>
      </c>
      <c r="C64" s="1010"/>
      <c r="D64" s="227">
        <f>'таблица (всего)'!D61</f>
        <v>1671400</v>
      </c>
      <c r="E64" s="227">
        <f>'таблица (всего)'!E61</f>
        <v>700000.04</v>
      </c>
      <c r="F64" s="313">
        <f>'таблица (всего)'!F61</f>
        <v>1648040</v>
      </c>
      <c r="G64" s="313">
        <f>'таблица (всего)'!G61</f>
        <v>1648040</v>
      </c>
      <c r="H64" s="313">
        <f>'таблица (всего)'!H61</f>
        <v>1648040</v>
      </c>
      <c r="I64" s="313">
        <f>'таблица (всего)'!I61</f>
        <v>1648040</v>
      </c>
      <c r="J64" s="313">
        <f>'таблица (всего)'!J61</f>
        <v>1648040</v>
      </c>
    </row>
    <row r="65" spans="1:10" x14ac:dyDescent="0.25">
      <c r="A65" s="225"/>
      <c r="B65" s="226" t="s">
        <v>178</v>
      </c>
      <c r="C65" s="1010"/>
      <c r="D65" s="228" t="s">
        <v>227</v>
      </c>
      <c r="E65" s="228" t="s">
        <v>227</v>
      </c>
      <c r="F65" s="313">
        <v>0</v>
      </c>
      <c r="G65" s="313">
        <v>0</v>
      </c>
      <c r="H65" s="313">
        <v>0</v>
      </c>
      <c r="I65" s="313">
        <v>0</v>
      </c>
      <c r="J65" s="313">
        <v>0</v>
      </c>
    </row>
    <row r="66" spans="1:10" ht="51" x14ac:dyDescent="0.25">
      <c r="A66" s="230" t="s">
        <v>239</v>
      </c>
      <c r="B66" s="229" t="str">
        <f>'таблица (всего)'!C62</f>
        <v>Оказание медицинской помощи лицам, инфицированным вирусом иммунодефицита человека, гепатитами В и С</v>
      </c>
      <c r="C66" s="225" t="s">
        <v>180</v>
      </c>
      <c r="D66" s="227">
        <f>D67</f>
        <v>24952300</v>
      </c>
      <c r="E66" s="227">
        <f t="shared" ref="E66:J67" si="29">E67</f>
        <v>16218864.6</v>
      </c>
      <c r="F66" s="313">
        <f t="shared" si="29"/>
        <v>16578868.699999999</v>
      </c>
      <c r="G66" s="313">
        <f t="shared" si="29"/>
        <v>10646794.26</v>
      </c>
      <c r="H66" s="313">
        <f t="shared" si="29"/>
        <v>10794404.15</v>
      </c>
      <c r="I66" s="313">
        <f t="shared" si="29"/>
        <v>10843546.01</v>
      </c>
      <c r="J66" s="313">
        <f t="shared" si="29"/>
        <v>13058851.5</v>
      </c>
    </row>
    <row r="67" spans="1:10" x14ac:dyDescent="0.25">
      <c r="A67" s="225"/>
      <c r="B67" s="226" t="s">
        <v>225</v>
      </c>
      <c r="C67" s="1010"/>
      <c r="D67" s="227">
        <f>D68</f>
        <v>24952300</v>
      </c>
      <c r="E67" s="227">
        <f t="shared" si="29"/>
        <v>16218864.6</v>
      </c>
      <c r="F67" s="313">
        <f t="shared" si="29"/>
        <v>16578868.699999999</v>
      </c>
      <c r="G67" s="313">
        <f t="shared" si="29"/>
        <v>10646794.26</v>
      </c>
      <c r="H67" s="313">
        <f t="shared" si="29"/>
        <v>10794404.15</v>
      </c>
      <c r="I67" s="313">
        <f t="shared" si="29"/>
        <v>10843546.01</v>
      </c>
      <c r="J67" s="313">
        <f t="shared" si="29"/>
        <v>13058851.5</v>
      </c>
    </row>
    <row r="68" spans="1:10" x14ac:dyDescent="0.25">
      <c r="A68" s="225"/>
      <c r="B68" s="226" t="s">
        <v>177</v>
      </c>
      <c r="C68" s="1010"/>
      <c r="D68" s="227">
        <f>'таблица (всего)'!D62</f>
        <v>24952300</v>
      </c>
      <c r="E68" s="227">
        <f>'таблица (всего)'!E62</f>
        <v>16218864.6</v>
      </c>
      <c r="F68" s="313">
        <f>'таблица (всего)'!F62</f>
        <v>16578868.699999999</v>
      </c>
      <c r="G68" s="313">
        <f>'таблица (всего)'!G62</f>
        <v>10646794.26</v>
      </c>
      <c r="H68" s="313">
        <f>'таблица (всего)'!H62</f>
        <v>10794404.15</v>
      </c>
      <c r="I68" s="313">
        <f>'таблица (всего)'!I62</f>
        <v>10843546.01</v>
      </c>
      <c r="J68" s="313">
        <f>'таблица (всего)'!J62</f>
        <v>13058851.5</v>
      </c>
    </row>
    <row r="69" spans="1:10" x14ac:dyDescent="0.25">
      <c r="A69" s="225"/>
      <c r="B69" s="226" t="s">
        <v>178</v>
      </c>
      <c r="C69" s="1010"/>
      <c r="D69" s="228" t="s">
        <v>227</v>
      </c>
      <c r="E69" s="228" t="s">
        <v>227</v>
      </c>
      <c r="F69" s="313">
        <v>0</v>
      </c>
      <c r="G69" s="313">
        <v>0</v>
      </c>
      <c r="H69" s="313">
        <v>0</v>
      </c>
      <c r="I69" s="313">
        <v>0</v>
      </c>
      <c r="J69" s="313">
        <v>0</v>
      </c>
    </row>
    <row r="70" spans="1:10" ht="51" x14ac:dyDescent="0.25">
      <c r="A70" s="230" t="s">
        <v>240</v>
      </c>
      <c r="B70" s="229" t="str">
        <f>'таблица (всего)'!C63</f>
        <v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v>
      </c>
      <c r="C70" s="225" t="s">
        <v>180</v>
      </c>
      <c r="D70" s="227">
        <f>D71</f>
        <v>191579239.53</v>
      </c>
      <c r="E70" s="227">
        <f t="shared" ref="E70:J70" si="30">E71</f>
        <v>201629900</v>
      </c>
      <c r="F70" s="313">
        <f t="shared" si="30"/>
        <v>178083300</v>
      </c>
      <c r="G70" s="313">
        <f t="shared" si="30"/>
        <v>0</v>
      </c>
      <c r="H70" s="313">
        <f t="shared" si="30"/>
        <v>0</v>
      </c>
      <c r="I70" s="313">
        <f t="shared" si="30"/>
        <v>0</v>
      </c>
      <c r="J70" s="313">
        <f t="shared" si="30"/>
        <v>0</v>
      </c>
    </row>
    <row r="71" spans="1:10" x14ac:dyDescent="0.25">
      <c r="A71" s="225"/>
      <c r="B71" s="226" t="s">
        <v>225</v>
      </c>
      <c r="C71" s="1010"/>
      <c r="D71" s="227">
        <f>D73</f>
        <v>191579239.53</v>
      </c>
      <c r="E71" s="227">
        <f t="shared" ref="E71:J71" si="31">E73</f>
        <v>201629900</v>
      </c>
      <c r="F71" s="313">
        <f t="shared" si="31"/>
        <v>178083300</v>
      </c>
      <c r="G71" s="313">
        <f t="shared" si="31"/>
        <v>0</v>
      </c>
      <c r="H71" s="313">
        <f t="shared" si="31"/>
        <v>0</v>
      </c>
      <c r="I71" s="313">
        <f t="shared" si="31"/>
        <v>0</v>
      </c>
      <c r="J71" s="313">
        <f t="shared" si="31"/>
        <v>0</v>
      </c>
    </row>
    <row r="72" spans="1:10" x14ac:dyDescent="0.25">
      <c r="A72" s="225"/>
      <c r="B72" s="226" t="s">
        <v>177</v>
      </c>
      <c r="C72" s="1010"/>
      <c r="D72" s="228" t="s">
        <v>227</v>
      </c>
      <c r="E72" s="228" t="s">
        <v>227</v>
      </c>
      <c r="F72" s="313">
        <v>0</v>
      </c>
      <c r="G72" s="313">
        <v>0</v>
      </c>
      <c r="H72" s="313">
        <v>0</v>
      </c>
      <c r="I72" s="313">
        <v>0</v>
      </c>
      <c r="J72" s="313">
        <v>0</v>
      </c>
    </row>
    <row r="73" spans="1:10" x14ac:dyDescent="0.25">
      <c r="A73" s="225"/>
      <c r="B73" s="226" t="s">
        <v>178</v>
      </c>
      <c r="C73" s="1010"/>
      <c r="D73" s="227">
        <f>'таблица (всего)'!D63</f>
        <v>191579239.53</v>
      </c>
      <c r="E73" s="227">
        <f>'таблица (всего)'!E63</f>
        <v>201629900</v>
      </c>
      <c r="F73" s="313">
        <f>'таблица (всего)'!F63</f>
        <v>178083300</v>
      </c>
      <c r="G73" s="313">
        <f>'таблица (всего)'!G63</f>
        <v>0</v>
      </c>
      <c r="H73" s="313">
        <f>'таблица (всего)'!H63</f>
        <v>0</v>
      </c>
      <c r="I73" s="313">
        <f>'таблица (всего)'!I63</f>
        <v>0</v>
      </c>
      <c r="J73" s="313">
        <f>'таблица (всего)'!J63</f>
        <v>0</v>
      </c>
    </row>
    <row r="74" spans="1:10" ht="51" x14ac:dyDescent="0.25">
      <c r="A74" s="230" t="s">
        <v>241</v>
      </c>
      <c r="B74" s="229" t="str">
        <f>'таблица (всего)'!C64</f>
        <v>Реализация мероприятий по профилактике ВИЧ-инфекции и гепатитов B и C</v>
      </c>
      <c r="C74" s="225" t="s">
        <v>180</v>
      </c>
      <c r="D74" s="227">
        <f>D75</f>
        <v>1134200</v>
      </c>
      <c r="E74" s="227">
        <f t="shared" ref="E74:J74" si="32">E75</f>
        <v>2565400</v>
      </c>
      <c r="F74" s="313">
        <f t="shared" si="32"/>
        <v>2519100</v>
      </c>
      <c r="G74" s="313">
        <f t="shared" si="32"/>
        <v>0</v>
      </c>
      <c r="H74" s="313">
        <f t="shared" si="32"/>
        <v>0</v>
      </c>
      <c r="I74" s="313">
        <f t="shared" si="32"/>
        <v>0</v>
      </c>
      <c r="J74" s="313">
        <f t="shared" si="32"/>
        <v>0</v>
      </c>
    </row>
    <row r="75" spans="1:10" x14ac:dyDescent="0.25">
      <c r="A75" s="225"/>
      <c r="B75" s="226" t="s">
        <v>225</v>
      </c>
      <c r="C75" s="1010"/>
      <c r="D75" s="227">
        <f>D77</f>
        <v>1134200</v>
      </c>
      <c r="E75" s="227">
        <f t="shared" ref="E75:J75" si="33">E77</f>
        <v>2565400</v>
      </c>
      <c r="F75" s="313">
        <f t="shared" si="33"/>
        <v>2519100</v>
      </c>
      <c r="G75" s="313">
        <f t="shared" si="33"/>
        <v>0</v>
      </c>
      <c r="H75" s="313">
        <f t="shared" si="33"/>
        <v>0</v>
      </c>
      <c r="I75" s="313">
        <f t="shared" si="33"/>
        <v>0</v>
      </c>
      <c r="J75" s="313">
        <f t="shared" si="33"/>
        <v>0</v>
      </c>
    </row>
    <row r="76" spans="1:10" x14ac:dyDescent="0.25">
      <c r="A76" s="225"/>
      <c r="B76" s="226" t="s">
        <v>177</v>
      </c>
      <c r="C76" s="1010"/>
      <c r="D76" s="228" t="s">
        <v>227</v>
      </c>
      <c r="E76" s="228" t="s">
        <v>227</v>
      </c>
      <c r="F76" s="313">
        <v>0</v>
      </c>
      <c r="G76" s="313">
        <v>0</v>
      </c>
      <c r="H76" s="313">
        <v>0</v>
      </c>
      <c r="I76" s="313">
        <v>0</v>
      </c>
      <c r="J76" s="313">
        <v>0</v>
      </c>
    </row>
    <row r="77" spans="1:10" x14ac:dyDescent="0.25">
      <c r="A77" s="225"/>
      <c r="B77" s="226" t="s">
        <v>178</v>
      </c>
      <c r="C77" s="1010"/>
      <c r="D77" s="227">
        <f>'таблица (всего)'!D64</f>
        <v>1134200</v>
      </c>
      <c r="E77" s="227">
        <f>'таблица (всего)'!E64</f>
        <v>2565400</v>
      </c>
      <c r="F77" s="313">
        <f>'таблица (всего)'!F64</f>
        <v>2519100</v>
      </c>
      <c r="G77" s="313">
        <f>'таблица (всего)'!G64</f>
        <v>0</v>
      </c>
      <c r="H77" s="313">
        <f>'таблица (всего)'!H64</f>
        <v>0</v>
      </c>
      <c r="I77" s="313">
        <f>'таблица (всего)'!I64</f>
        <v>0</v>
      </c>
      <c r="J77" s="313">
        <f>'таблица (всего)'!J64</f>
        <v>0</v>
      </c>
    </row>
  </sheetData>
  <mergeCells count="21">
    <mergeCell ref="I1:J1"/>
    <mergeCell ref="A2:J2"/>
    <mergeCell ref="A3:J3"/>
    <mergeCell ref="C59:C61"/>
    <mergeCell ref="C63:C65"/>
    <mergeCell ref="C19:C21"/>
    <mergeCell ref="C15:C17"/>
    <mergeCell ref="C7:C9"/>
    <mergeCell ref="C11:C13"/>
    <mergeCell ref="C67:C69"/>
    <mergeCell ref="C71:C73"/>
    <mergeCell ref="C75:C77"/>
    <mergeCell ref="C51:C53"/>
    <mergeCell ref="C23:C25"/>
    <mergeCell ref="C27:C29"/>
    <mergeCell ref="C55:C57"/>
    <mergeCell ref="C31:C33"/>
    <mergeCell ref="C35:C37"/>
    <mergeCell ref="C43:C45"/>
    <mergeCell ref="C47:C49"/>
    <mergeCell ref="C39:C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7"/>
  <sheetViews>
    <sheetView topLeftCell="A4" zoomScale="90" zoomScaleNormal="90" workbookViewId="0">
      <selection activeCell="I20" sqref="I20"/>
    </sheetView>
  </sheetViews>
  <sheetFormatPr defaultRowHeight="15" x14ac:dyDescent="0.25"/>
  <cols>
    <col min="1" max="1" width="4.140625" style="76" customWidth="1"/>
    <col min="2" max="2" width="45" style="219" customWidth="1"/>
    <col min="3" max="3" width="16.140625" style="76" customWidth="1"/>
    <col min="4" max="5" width="18.28515625" style="77" hidden="1" customWidth="1"/>
    <col min="6" max="6" width="18.28515625" style="77" customWidth="1"/>
    <col min="7" max="10" width="18.28515625" customWidth="1"/>
  </cols>
  <sheetData>
    <row r="1" spans="1:17" ht="90.75" customHeight="1" x14ac:dyDescent="0.25">
      <c r="I1" s="1011" t="s">
        <v>185</v>
      </c>
      <c r="J1" s="1011"/>
    </row>
    <row r="2" spans="1:17" ht="18.75" customHeight="1" x14ac:dyDescent="0.25">
      <c r="A2" s="1012" t="s">
        <v>186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3">
      <c r="A3" s="1013" t="s">
        <v>171</v>
      </c>
      <c r="B3" s="1013"/>
      <c r="C3" s="1013"/>
      <c r="D3" s="1013"/>
      <c r="E3" s="1013"/>
      <c r="F3" s="1013"/>
      <c r="G3" s="1013"/>
      <c r="H3" s="1013"/>
      <c r="I3" s="1013"/>
      <c r="J3" s="1013"/>
    </row>
    <row r="4" spans="1:17" ht="18.75" x14ac:dyDescent="0.3">
      <c r="A4" s="78"/>
      <c r="B4" s="220"/>
      <c r="C4" s="78"/>
      <c r="D4" s="78"/>
      <c r="E4" s="78"/>
      <c r="J4" s="79" t="s">
        <v>172</v>
      </c>
    </row>
    <row r="5" spans="1:17" ht="25.5" x14ac:dyDescent="0.25">
      <c r="A5" s="223" t="s">
        <v>173</v>
      </c>
      <c r="B5" s="224" t="s">
        <v>223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6" t="s">
        <v>224</v>
      </c>
      <c r="C6" s="225"/>
      <c r="D6" s="227">
        <f>D7</f>
        <v>50851700</v>
      </c>
      <c r="E6" s="227">
        <f t="shared" ref="E6:J7" si="0">E7</f>
        <v>50510497.270000003</v>
      </c>
      <c r="F6" s="227">
        <f t="shared" si="0"/>
        <v>50510200</v>
      </c>
      <c r="G6" s="227">
        <f t="shared" si="0"/>
        <v>0</v>
      </c>
      <c r="H6" s="227">
        <f t="shared" si="0"/>
        <v>0</v>
      </c>
      <c r="I6" s="227">
        <f t="shared" si="0"/>
        <v>0</v>
      </c>
      <c r="J6" s="227">
        <f t="shared" si="0"/>
        <v>0</v>
      </c>
      <c r="K6" s="222">
        <f>D6-'таблица (всего)'!D68</f>
        <v>0</v>
      </c>
      <c r="L6" s="222">
        <f>E6-'таблица (всего)'!E68</f>
        <v>0</v>
      </c>
      <c r="M6" s="222">
        <f>F6-'таблица (всего)'!F68</f>
        <v>0</v>
      </c>
      <c r="N6" s="222">
        <f>G6-'таблица (всего)'!G68</f>
        <v>-50510200</v>
      </c>
      <c r="O6" s="222">
        <f>H6-'таблица (всего)'!H68</f>
        <v>-50510200</v>
      </c>
      <c r="P6" s="222">
        <f>I6-'таблица (всего)'!I68</f>
        <v>-50510200</v>
      </c>
      <c r="Q6" s="222">
        <f>J6-'таблица (всего)'!J68</f>
        <v>-50510200</v>
      </c>
    </row>
    <row r="7" spans="1:17" x14ac:dyDescent="0.25">
      <c r="A7" s="225"/>
      <c r="B7" s="226" t="s">
        <v>225</v>
      </c>
      <c r="C7" s="1010"/>
      <c r="D7" s="227">
        <f>D8</f>
        <v>50851700</v>
      </c>
      <c r="E7" s="227">
        <f t="shared" si="0"/>
        <v>50510497.270000003</v>
      </c>
      <c r="F7" s="227">
        <f t="shared" si="0"/>
        <v>50510200</v>
      </c>
      <c r="G7" s="227">
        <f t="shared" si="0"/>
        <v>0</v>
      </c>
      <c r="H7" s="227">
        <f t="shared" si="0"/>
        <v>0</v>
      </c>
      <c r="I7" s="227">
        <f t="shared" si="0"/>
        <v>0</v>
      </c>
      <c r="J7" s="227">
        <f t="shared" si="0"/>
        <v>0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5"/>
      <c r="B8" s="226" t="s">
        <v>177</v>
      </c>
      <c r="C8" s="1010"/>
      <c r="D8" s="227">
        <f>D12</f>
        <v>50851700</v>
      </c>
      <c r="E8" s="227">
        <f t="shared" ref="E8:J8" si="1">E12</f>
        <v>50510497.270000003</v>
      </c>
      <c r="F8" s="227">
        <f t="shared" si="1"/>
        <v>50510200</v>
      </c>
      <c r="G8" s="227">
        <f t="shared" si="1"/>
        <v>0</v>
      </c>
      <c r="H8" s="227">
        <f t="shared" si="1"/>
        <v>0</v>
      </c>
      <c r="I8" s="227">
        <f t="shared" si="1"/>
        <v>0</v>
      </c>
      <c r="J8" s="227">
        <f t="shared" si="1"/>
        <v>0</v>
      </c>
      <c r="K8" s="222">
        <f>D8-'таблица (всего)'!D70</f>
        <v>0</v>
      </c>
      <c r="L8" s="222">
        <f>E8-'таблица (всего)'!E70</f>
        <v>0</v>
      </c>
      <c r="M8" s="222">
        <f>F8-'таблица (всего)'!F70</f>
        <v>0</v>
      </c>
      <c r="N8" s="222">
        <f>G8-'таблица (всего)'!G70</f>
        <v>-50510200</v>
      </c>
      <c r="O8" s="222">
        <f>H8-'таблица (всего)'!H70</f>
        <v>-50510200</v>
      </c>
      <c r="P8" s="222">
        <f>I8-'таблица (всего)'!I70</f>
        <v>-50510200</v>
      </c>
      <c r="Q8" s="222">
        <f>J8-'таблица (всего)'!J70</f>
        <v>-50510200</v>
      </c>
    </row>
    <row r="9" spans="1:17" x14ac:dyDescent="0.25">
      <c r="A9" s="225"/>
      <c r="B9" s="226" t="s">
        <v>178</v>
      </c>
      <c r="C9" s="1010"/>
      <c r="D9" s="223" t="s">
        <v>227</v>
      </c>
      <c r="E9" s="223" t="s">
        <v>227</v>
      </c>
      <c r="F9" s="227">
        <v>0</v>
      </c>
      <c r="G9" s="227">
        <v>0</v>
      </c>
      <c r="H9" s="227">
        <v>0</v>
      </c>
      <c r="I9" s="227">
        <v>0</v>
      </c>
      <c r="J9" s="227">
        <v>0</v>
      </c>
    </row>
    <row r="10" spans="1:17" ht="51" x14ac:dyDescent="0.25">
      <c r="A10" s="225" t="s">
        <v>228</v>
      </c>
      <c r="B10" s="229" t="str">
        <f>'таблица (всего)'!C71</f>
        <v>«Оказание паллиативной помощи»</v>
      </c>
      <c r="C10" s="225" t="s">
        <v>180</v>
      </c>
      <c r="D10" s="227">
        <f>D11</f>
        <v>50851700</v>
      </c>
      <c r="E10" s="227">
        <f t="shared" ref="E10:J11" si="2">E11</f>
        <v>50510497.270000003</v>
      </c>
      <c r="F10" s="227">
        <f t="shared" si="2"/>
        <v>50510200</v>
      </c>
      <c r="G10" s="227">
        <f t="shared" si="2"/>
        <v>0</v>
      </c>
      <c r="H10" s="227">
        <f t="shared" si="2"/>
        <v>0</v>
      </c>
      <c r="I10" s="227">
        <f t="shared" si="2"/>
        <v>0</v>
      </c>
      <c r="J10" s="227">
        <f t="shared" si="2"/>
        <v>0</v>
      </c>
    </row>
    <row r="11" spans="1:17" x14ac:dyDescent="0.25">
      <c r="A11" s="225"/>
      <c r="B11" s="226" t="s">
        <v>225</v>
      </c>
      <c r="C11" s="1010"/>
      <c r="D11" s="227">
        <f>D12</f>
        <v>50851700</v>
      </c>
      <c r="E11" s="227">
        <f t="shared" si="2"/>
        <v>50510497.270000003</v>
      </c>
      <c r="F11" s="227">
        <f t="shared" si="2"/>
        <v>50510200</v>
      </c>
      <c r="G11" s="227">
        <f t="shared" si="2"/>
        <v>0</v>
      </c>
      <c r="H11" s="227">
        <f t="shared" si="2"/>
        <v>0</v>
      </c>
      <c r="I11" s="227">
        <f t="shared" si="2"/>
        <v>0</v>
      </c>
      <c r="J11" s="227">
        <f t="shared" si="2"/>
        <v>0</v>
      </c>
    </row>
    <row r="12" spans="1:17" x14ac:dyDescent="0.25">
      <c r="A12" s="225"/>
      <c r="B12" s="226" t="s">
        <v>177</v>
      </c>
      <c r="C12" s="1010"/>
      <c r="D12" s="227">
        <f>D16</f>
        <v>50851700</v>
      </c>
      <c r="E12" s="227">
        <f t="shared" ref="E12:J12" si="3">E16</f>
        <v>50510497.270000003</v>
      </c>
      <c r="F12" s="227">
        <f t="shared" si="3"/>
        <v>50510200</v>
      </c>
      <c r="G12" s="227">
        <f t="shared" si="3"/>
        <v>0</v>
      </c>
      <c r="H12" s="227">
        <f t="shared" si="3"/>
        <v>0</v>
      </c>
      <c r="I12" s="227">
        <f t="shared" si="3"/>
        <v>0</v>
      </c>
      <c r="J12" s="227">
        <f t="shared" si="3"/>
        <v>0</v>
      </c>
    </row>
    <row r="13" spans="1:17" x14ac:dyDescent="0.25">
      <c r="A13" s="225"/>
      <c r="B13" s="226" t="s">
        <v>178</v>
      </c>
      <c r="C13" s="1010"/>
      <c r="D13" s="223" t="s">
        <v>227</v>
      </c>
      <c r="E13" s="223" t="s">
        <v>227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</row>
    <row r="14" spans="1:17" ht="63.75" x14ac:dyDescent="0.25">
      <c r="A14" s="230" t="s">
        <v>234</v>
      </c>
      <c r="B14" s="229" t="str">
        <f>'таблица (всего)'!C72</f>
        <v>Иной межбюджетный трансферт бюджету территориального фонда обязательного медицинского страхования Ивановской области на финансовое обеспечение паллиативной медицинской помощи</v>
      </c>
      <c r="C14" s="225" t="s">
        <v>180</v>
      </c>
      <c r="D14" s="227">
        <f>D15</f>
        <v>50851700</v>
      </c>
      <c r="E14" s="227">
        <f t="shared" ref="E14:J15" si="4">E15</f>
        <v>50510497.270000003</v>
      </c>
      <c r="F14" s="227">
        <f t="shared" si="4"/>
        <v>50510200</v>
      </c>
      <c r="G14" s="227">
        <f t="shared" si="4"/>
        <v>0</v>
      </c>
      <c r="H14" s="227">
        <f t="shared" si="4"/>
        <v>0</v>
      </c>
      <c r="I14" s="227">
        <f t="shared" si="4"/>
        <v>0</v>
      </c>
      <c r="J14" s="227">
        <f t="shared" si="4"/>
        <v>0</v>
      </c>
    </row>
    <row r="15" spans="1:17" x14ac:dyDescent="0.25">
      <c r="A15" s="225"/>
      <c r="B15" s="226" t="s">
        <v>225</v>
      </c>
      <c r="C15" s="1010"/>
      <c r="D15" s="227">
        <f>D16</f>
        <v>50851700</v>
      </c>
      <c r="E15" s="227">
        <f t="shared" si="4"/>
        <v>50510497.270000003</v>
      </c>
      <c r="F15" s="227">
        <f t="shared" si="4"/>
        <v>50510200</v>
      </c>
      <c r="G15" s="227">
        <f t="shared" si="4"/>
        <v>0</v>
      </c>
      <c r="H15" s="227">
        <f t="shared" si="4"/>
        <v>0</v>
      </c>
      <c r="I15" s="227">
        <f t="shared" si="4"/>
        <v>0</v>
      </c>
      <c r="J15" s="227">
        <f t="shared" si="4"/>
        <v>0</v>
      </c>
    </row>
    <row r="16" spans="1:17" x14ac:dyDescent="0.25">
      <c r="A16" s="225"/>
      <c r="B16" s="226" t="s">
        <v>177</v>
      </c>
      <c r="C16" s="1010"/>
      <c r="D16" s="227">
        <f>'таблица (всего)'!D72</f>
        <v>50851700</v>
      </c>
      <c r="E16" s="227">
        <f>'таблица (всего)'!E72</f>
        <v>50510497.270000003</v>
      </c>
      <c r="F16" s="227">
        <f>'таблица (всего)'!F72</f>
        <v>50510200</v>
      </c>
      <c r="G16" s="227">
        <f>'таблица (всего)'!G72</f>
        <v>0</v>
      </c>
      <c r="H16" s="227">
        <f>'таблица (всего)'!H72</f>
        <v>0</v>
      </c>
      <c r="I16" s="227">
        <f>'таблица (всего)'!I72</f>
        <v>0</v>
      </c>
      <c r="J16" s="227">
        <f>'таблица (всего)'!J72</f>
        <v>0</v>
      </c>
    </row>
    <row r="17" spans="1:10" x14ac:dyDescent="0.25">
      <c r="A17" s="225"/>
      <c r="B17" s="226" t="s">
        <v>178</v>
      </c>
      <c r="C17" s="1010"/>
      <c r="D17" s="223" t="s">
        <v>227</v>
      </c>
      <c r="E17" s="223" t="s">
        <v>227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</row>
  </sheetData>
  <mergeCells count="6">
    <mergeCell ref="A2:J2"/>
    <mergeCell ref="A3:J3"/>
    <mergeCell ref="C15:C17"/>
    <mergeCell ref="I1:J1"/>
    <mergeCell ref="C7:C9"/>
    <mergeCell ref="C11:C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5"/>
  <sheetViews>
    <sheetView topLeftCell="A2" zoomScale="90" zoomScaleNormal="90" workbookViewId="0">
      <selection activeCell="I33" sqref="I33"/>
    </sheetView>
  </sheetViews>
  <sheetFormatPr defaultRowHeight="15" x14ac:dyDescent="0.25"/>
  <cols>
    <col min="1" max="1" width="4.140625" style="76" customWidth="1"/>
    <col min="2" max="2" width="45" style="219" customWidth="1"/>
    <col min="3" max="3" width="16.140625" style="76" customWidth="1"/>
    <col min="4" max="5" width="18.28515625" style="77" hidden="1" customWidth="1"/>
    <col min="6" max="6" width="18.28515625" style="77" customWidth="1"/>
    <col min="7" max="10" width="18.28515625" customWidth="1"/>
  </cols>
  <sheetData>
    <row r="1" spans="1:17" ht="92.25" customHeight="1" x14ac:dyDescent="0.25">
      <c r="I1" s="1011" t="s">
        <v>187</v>
      </c>
      <c r="J1" s="1011"/>
    </row>
    <row r="2" spans="1:17" ht="23.25" customHeight="1" x14ac:dyDescent="0.25">
      <c r="A2" s="1012" t="s">
        <v>188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3">
      <c r="A4" s="78"/>
      <c r="B4" s="220"/>
      <c r="C4" s="78"/>
      <c r="D4" s="78"/>
      <c r="E4" s="78"/>
      <c r="J4" s="79" t="s">
        <v>172</v>
      </c>
    </row>
    <row r="5" spans="1:17" ht="25.5" x14ac:dyDescent="0.25">
      <c r="A5" s="223" t="s">
        <v>173</v>
      </c>
      <c r="B5" s="224" t="s">
        <v>223</v>
      </c>
      <c r="C5" s="223" t="s">
        <v>175</v>
      </c>
      <c r="D5" s="223">
        <v>2014</v>
      </c>
      <c r="E5" s="223">
        <v>2015</v>
      </c>
      <c r="F5" s="223">
        <v>2016</v>
      </c>
      <c r="G5" s="223">
        <v>2017</v>
      </c>
      <c r="H5" s="223">
        <v>2018</v>
      </c>
      <c r="I5" s="223">
        <v>2019</v>
      </c>
      <c r="J5" s="223">
        <v>2020</v>
      </c>
    </row>
    <row r="6" spans="1:17" x14ac:dyDescent="0.25">
      <c r="A6" s="225"/>
      <c r="B6" s="226" t="s">
        <v>224</v>
      </c>
      <c r="C6" s="225"/>
      <c r="D6" s="227">
        <f>D7</f>
        <v>141277400</v>
      </c>
      <c r="E6" s="227">
        <f t="shared" ref="E6:J7" si="0">E7</f>
        <v>117113654.38</v>
      </c>
      <c r="F6" s="227">
        <f t="shared" si="0"/>
        <v>110823006.63</v>
      </c>
      <c r="G6" s="227">
        <f t="shared" si="0"/>
        <v>92612194.180000007</v>
      </c>
      <c r="H6" s="227">
        <f t="shared" si="0"/>
        <v>92612194.180000007</v>
      </c>
      <c r="I6" s="227">
        <f t="shared" si="0"/>
        <v>92612194.180000007</v>
      </c>
      <c r="J6" s="227">
        <f t="shared" si="0"/>
        <v>92612194.180000007</v>
      </c>
      <c r="K6" s="222">
        <f>D6-'таблица (всего)'!D74</f>
        <v>0</v>
      </c>
      <c r="L6" s="222">
        <f>E6-'таблица (всего)'!E74</f>
        <v>0</v>
      </c>
      <c r="M6" s="222">
        <f>F6-'таблица (всего)'!F74</f>
        <v>0</v>
      </c>
      <c r="N6" s="222">
        <f>G6-'таблица (всего)'!G74</f>
        <v>0</v>
      </c>
      <c r="O6" s="222">
        <f>H6-'таблица (всего)'!H74</f>
        <v>0</v>
      </c>
      <c r="P6" s="222">
        <f>I6-'таблица (всего)'!I74</f>
        <v>0</v>
      </c>
      <c r="Q6" s="222">
        <f>J6-'таблица (всего)'!J74</f>
        <v>0</v>
      </c>
    </row>
    <row r="7" spans="1:17" x14ac:dyDescent="0.25">
      <c r="A7" s="225"/>
      <c r="B7" s="226" t="s">
        <v>225</v>
      </c>
      <c r="C7" s="1010"/>
      <c r="D7" s="227">
        <f>D8</f>
        <v>141277400</v>
      </c>
      <c r="E7" s="227">
        <f t="shared" si="0"/>
        <v>117113654.38</v>
      </c>
      <c r="F7" s="227">
        <f t="shared" si="0"/>
        <v>110823006.63</v>
      </c>
      <c r="G7" s="227">
        <f t="shared" si="0"/>
        <v>92612194.180000007</v>
      </c>
      <c r="H7" s="227">
        <f t="shared" si="0"/>
        <v>92612194.180000007</v>
      </c>
      <c r="I7" s="227">
        <f t="shared" si="0"/>
        <v>92612194.180000007</v>
      </c>
      <c r="J7" s="227">
        <f t="shared" si="0"/>
        <v>92612194.180000007</v>
      </c>
      <c r="K7" s="234"/>
      <c r="L7" s="234"/>
      <c r="M7" s="234"/>
      <c r="N7" s="234"/>
      <c r="O7" s="234"/>
      <c r="P7" s="234"/>
      <c r="Q7" s="234"/>
    </row>
    <row r="8" spans="1:17" x14ac:dyDescent="0.25">
      <c r="A8" s="225"/>
      <c r="B8" s="226" t="s">
        <v>177</v>
      </c>
      <c r="C8" s="1010"/>
      <c r="D8" s="227">
        <f>D12</f>
        <v>141277400</v>
      </c>
      <c r="E8" s="227">
        <f t="shared" ref="E8:J8" si="1">E12</f>
        <v>117113654.38</v>
      </c>
      <c r="F8" s="227">
        <f t="shared" si="1"/>
        <v>110823006.63</v>
      </c>
      <c r="G8" s="227">
        <f t="shared" si="1"/>
        <v>92612194.180000007</v>
      </c>
      <c r="H8" s="227">
        <f t="shared" si="1"/>
        <v>92612194.180000007</v>
      </c>
      <c r="I8" s="227">
        <f t="shared" si="1"/>
        <v>92612194.180000007</v>
      </c>
      <c r="J8" s="227">
        <f t="shared" si="1"/>
        <v>92612194.180000007</v>
      </c>
      <c r="K8" s="222">
        <f>D8-'таблица (всего)'!D76</f>
        <v>0</v>
      </c>
      <c r="L8" s="222">
        <f>E8-'таблица (всего)'!E76</f>
        <v>0</v>
      </c>
      <c r="M8" s="222">
        <f>F8-'таблица (всего)'!F76</f>
        <v>0</v>
      </c>
      <c r="N8" s="222">
        <f>G8-'таблица (всего)'!G76</f>
        <v>0</v>
      </c>
      <c r="O8" s="222">
        <f>H8-'таблица (всего)'!H76</f>
        <v>0</v>
      </c>
      <c r="P8" s="222">
        <f>I8-'таблица (всего)'!I76</f>
        <v>0</v>
      </c>
      <c r="Q8" s="222">
        <f>J8-'таблица (всего)'!J76</f>
        <v>0</v>
      </c>
    </row>
    <row r="9" spans="1:17" x14ac:dyDescent="0.25">
      <c r="A9" s="225"/>
      <c r="B9" s="226" t="s">
        <v>178</v>
      </c>
      <c r="C9" s="1010"/>
      <c r="D9" s="228" t="s">
        <v>227</v>
      </c>
      <c r="E9" s="228" t="s">
        <v>227</v>
      </c>
      <c r="F9" s="227">
        <v>0</v>
      </c>
      <c r="G9" s="227">
        <v>0</v>
      </c>
      <c r="H9" s="227">
        <v>0</v>
      </c>
      <c r="I9" s="227">
        <v>0</v>
      </c>
      <c r="J9" s="227">
        <v>0</v>
      </c>
    </row>
    <row r="10" spans="1:17" ht="89.25" x14ac:dyDescent="0.25">
      <c r="A10" s="225" t="s">
        <v>228</v>
      </c>
      <c r="B10" s="229" t="str">
        <f>'таблица (всего)'!C77</f>
        <v xml:space="preserve"> «Осуществление бесперебойного и полного обеспечения донорской кровью и (или) ее компонентами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на территории Ивановской области»</v>
      </c>
      <c r="C10" s="225" t="s">
        <v>180</v>
      </c>
      <c r="D10" s="227">
        <f>D11</f>
        <v>141277400</v>
      </c>
      <c r="E10" s="227">
        <f t="shared" ref="E10:J11" si="2">E11</f>
        <v>117113654.38</v>
      </c>
      <c r="F10" s="227">
        <f t="shared" si="2"/>
        <v>110823006.63</v>
      </c>
      <c r="G10" s="227">
        <f t="shared" si="2"/>
        <v>92612194.180000007</v>
      </c>
      <c r="H10" s="227">
        <f t="shared" si="2"/>
        <v>92612194.180000007</v>
      </c>
      <c r="I10" s="227">
        <f t="shared" si="2"/>
        <v>92612194.180000007</v>
      </c>
      <c r="J10" s="227">
        <f t="shared" si="2"/>
        <v>92612194.180000007</v>
      </c>
    </row>
    <row r="11" spans="1:17" x14ac:dyDescent="0.25">
      <c r="A11" s="225"/>
      <c r="B11" s="226" t="s">
        <v>225</v>
      </c>
      <c r="C11" s="1010"/>
      <c r="D11" s="227">
        <f>D12</f>
        <v>141277400</v>
      </c>
      <c r="E11" s="227">
        <f t="shared" si="2"/>
        <v>117113654.38</v>
      </c>
      <c r="F11" s="227">
        <f t="shared" si="2"/>
        <v>110823006.63</v>
      </c>
      <c r="G11" s="227">
        <f t="shared" si="2"/>
        <v>92612194.180000007</v>
      </c>
      <c r="H11" s="227">
        <f t="shared" si="2"/>
        <v>92612194.180000007</v>
      </c>
      <c r="I11" s="227">
        <f t="shared" si="2"/>
        <v>92612194.180000007</v>
      </c>
      <c r="J11" s="227">
        <f t="shared" si="2"/>
        <v>92612194.180000007</v>
      </c>
    </row>
    <row r="12" spans="1:17" x14ac:dyDescent="0.25">
      <c r="A12" s="225"/>
      <c r="B12" s="226" t="s">
        <v>177</v>
      </c>
      <c r="C12" s="1010"/>
      <c r="D12" s="227">
        <f t="shared" ref="D12:J12" si="3">D16+D20+D24</f>
        <v>141277400</v>
      </c>
      <c r="E12" s="227">
        <f t="shared" si="3"/>
        <v>117113654.38</v>
      </c>
      <c r="F12" s="227">
        <f t="shared" si="3"/>
        <v>110823006.63</v>
      </c>
      <c r="G12" s="227">
        <f t="shared" si="3"/>
        <v>92612194.180000007</v>
      </c>
      <c r="H12" s="227">
        <f t="shared" si="3"/>
        <v>92612194.180000007</v>
      </c>
      <c r="I12" s="227">
        <f t="shared" si="3"/>
        <v>92612194.180000007</v>
      </c>
      <c r="J12" s="227">
        <f t="shared" si="3"/>
        <v>92612194.180000007</v>
      </c>
    </row>
    <row r="13" spans="1:17" x14ac:dyDescent="0.25">
      <c r="A13" s="225"/>
      <c r="B13" s="226" t="s">
        <v>178</v>
      </c>
      <c r="C13" s="1010"/>
      <c r="D13" s="228" t="s">
        <v>227</v>
      </c>
      <c r="E13" s="228" t="s">
        <v>227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</row>
    <row r="14" spans="1:17" ht="63.75" hidden="1" x14ac:dyDescent="0.25">
      <c r="A14" s="230" t="s">
        <v>234</v>
      </c>
      <c r="B14" s="229" t="str">
        <f>'таблица (всего)'!C78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14" s="225" t="s">
        <v>180</v>
      </c>
      <c r="D14" s="227">
        <f>D15</f>
        <v>2687500</v>
      </c>
      <c r="E14" s="227">
        <f t="shared" ref="E14:J15" si="4">E15</f>
        <v>0</v>
      </c>
      <c r="F14" s="227">
        <f t="shared" si="4"/>
        <v>0</v>
      </c>
      <c r="G14" s="227">
        <f t="shared" si="4"/>
        <v>0</v>
      </c>
      <c r="H14" s="227">
        <f t="shared" si="4"/>
        <v>0</v>
      </c>
      <c r="I14" s="227">
        <f t="shared" si="4"/>
        <v>0</v>
      </c>
      <c r="J14" s="227">
        <f t="shared" si="4"/>
        <v>0</v>
      </c>
    </row>
    <row r="15" spans="1:17" hidden="1" x14ac:dyDescent="0.25">
      <c r="A15" s="225"/>
      <c r="B15" s="226" t="s">
        <v>225</v>
      </c>
      <c r="C15" s="1010"/>
      <c r="D15" s="227">
        <f>D16</f>
        <v>2687500</v>
      </c>
      <c r="E15" s="227">
        <f t="shared" si="4"/>
        <v>0</v>
      </c>
      <c r="F15" s="227">
        <f t="shared" si="4"/>
        <v>0</v>
      </c>
      <c r="G15" s="227">
        <f t="shared" si="4"/>
        <v>0</v>
      </c>
      <c r="H15" s="227">
        <f t="shared" si="4"/>
        <v>0</v>
      </c>
      <c r="I15" s="227">
        <f t="shared" si="4"/>
        <v>0</v>
      </c>
      <c r="J15" s="227">
        <f t="shared" si="4"/>
        <v>0</v>
      </c>
    </row>
    <row r="16" spans="1:17" hidden="1" x14ac:dyDescent="0.25">
      <c r="A16" s="225"/>
      <c r="B16" s="226" t="s">
        <v>177</v>
      </c>
      <c r="C16" s="1010"/>
      <c r="D16" s="227">
        <f>'таблица (всего)'!D78</f>
        <v>2687500</v>
      </c>
      <c r="E16" s="227">
        <f>'таблица (всего)'!E78</f>
        <v>0</v>
      </c>
      <c r="F16" s="227">
        <f>'таблица (всего)'!F78</f>
        <v>0</v>
      </c>
      <c r="G16" s="227">
        <f>'таблица (всего)'!G78</f>
        <v>0</v>
      </c>
      <c r="H16" s="227">
        <f>'таблица (всего)'!H78</f>
        <v>0</v>
      </c>
      <c r="I16" s="227">
        <f>'таблица (всего)'!I78</f>
        <v>0</v>
      </c>
      <c r="J16" s="227">
        <f>'таблица (всего)'!J78</f>
        <v>0</v>
      </c>
    </row>
    <row r="17" spans="1:10" hidden="1" x14ac:dyDescent="0.25">
      <c r="A17" s="225"/>
      <c r="B17" s="226" t="s">
        <v>178</v>
      </c>
      <c r="C17" s="1010"/>
      <c r="D17" s="228" t="s">
        <v>227</v>
      </c>
      <c r="E17" s="228" t="s">
        <v>227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</row>
    <row r="18" spans="1:10" ht="51" x14ac:dyDescent="0.25">
      <c r="A18" s="230" t="s">
        <v>235</v>
      </c>
      <c r="B18" s="229" t="str">
        <f>'таблица (всего)'!C79</f>
        <v>Осуществление заготовки, хранения, транспортировки и обеспечения безопасности донорской крови и (или) ее компонентов</v>
      </c>
      <c r="C18" s="225" t="s">
        <v>180</v>
      </c>
      <c r="D18" s="227">
        <f>D19</f>
        <v>123496900</v>
      </c>
      <c r="E18" s="227">
        <f t="shared" ref="E18:J19" si="5">E19</f>
        <v>108470654.38</v>
      </c>
      <c r="F18" s="227">
        <f t="shared" si="5"/>
        <v>102180006.63</v>
      </c>
      <c r="G18" s="227">
        <f t="shared" si="5"/>
        <v>83969194.180000007</v>
      </c>
      <c r="H18" s="227">
        <f t="shared" si="5"/>
        <v>83969194.180000007</v>
      </c>
      <c r="I18" s="227">
        <f t="shared" si="5"/>
        <v>83969194.180000007</v>
      </c>
      <c r="J18" s="227">
        <f t="shared" si="5"/>
        <v>83969194.180000007</v>
      </c>
    </row>
    <row r="19" spans="1:10" x14ac:dyDescent="0.25">
      <c r="A19" s="225"/>
      <c r="B19" s="226" t="s">
        <v>225</v>
      </c>
      <c r="C19" s="1010"/>
      <c r="D19" s="227">
        <f>D20</f>
        <v>123496900</v>
      </c>
      <c r="E19" s="227">
        <f t="shared" si="5"/>
        <v>108470654.38</v>
      </c>
      <c r="F19" s="227">
        <f t="shared" si="5"/>
        <v>102180006.63</v>
      </c>
      <c r="G19" s="227">
        <f t="shared" si="5"/>
        <v>83969194.180000007</v>
      </c>
      <c r="H19" s="227">
        <f t="shared" si="5"/>
        <v>83969194.180000007</v>
      </c>
      <c r="I19" s="227">
        <f t="shared" si="5"/>
        <v>83969194.180000007</v>
      </c>
      <c r="J19" s="227">
        <f t="shared" si="5"/>
        <v>83969194.180000007</v>
      </c>
    </row>
    <row r="20" spans="1:10" x14ac:dyDescent="0.25">
      <c r="A20" s="225"/>
      <c r="B20" s="226" t="s">
        <v>177</v>
      </c>
      <c r="C20" s="1010"/>
      <c r="D20" s="227">
        <f>'таблица (всего)'!D79</f>
        <v>123496900</v>
      </c>
      <c r="E20" s="227">
        <f>'таблица (всего)'!E79</f>
        <v>108470654.38</v>
      </c>
      <c r="F20" s="227">
        <f>'таблица (всего)'!F79</f>
        <v>102180006.63</v>
      </c>
      <c r="G20" s="227">
        <f>'таблица (всего)'!G79</f>
        <v>83969194.180000007</v>
      </c>
      <c r="H20" s="227">
        <f>'таблица (всего)'!H79</f>
        <v>83969194.180000007</v>
      </c>
      <c r="I20" s="227">
        <f>'таблица (всего)'!I79</f>
        <v>83969194.180000007</v>
      </c>
      <c r="J20" s="227">
        <f>'таблица (всего)'!J79</f>
        <v>83969194.180000007</v>
      </c>
    </row>
    <row r="21" spans="1:10" x14ac:dyDescent="0.25">
      <c r="A21" s="225"/>
      <c r="B21" s="226" t="s">
        <v>178</v>
      </c>
      <c r="C21" s="1010"/>
      <c r="D21" s="228" t="s">
        <v>227</v>
      </c>
      <c r="E21" s="228" t="s">
        <v>227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</row>
    <row r="22" spans="1:10" ht="51" x14ac:dyDescent="0.25">
      <c r="A22" s="230" t="s">
        <v>246</v>
      </c>
      <c r="B22" s="229" t="str">
        <f>'таблица (всего)'!C80</f>
        <v>Обеспечение доноров, безвозмездно сдавших кровь и (или) ее компоненты, бесплатным питанием</v>
      </c>
      <c r="C22" s="225" t="s">
        <v>180</v>
      </c>
      <c r="D22" s="227">
        <f>D23</f>
        <v>15093000</v>
      </c>
      <c r="E22" s="227">
        <f t="shared" ref="E22:J23" si="6">E23</f>
        <v>8643000</v>
      </c>
      <c r="F22" s="227">
        <f t="shared" si="6"/>
        <v>8643000</v>
      </c>
      <c r="G22" s="227">
        <f t="shared" si="6"/>
        <v>8643000</v>
      </c>
      <c r="H22" s="227">
        <f t="shared" si="6"/>
        <v>8643000</v>
      </c>
      <c r="I22" s="227">
        <f t="shared" si="6"/>
        <v>8643000</v>
      </c>
      <c r="J22" s="227">
        <f t="shared" si="6"/>
        <v>8643000</v>
      </c>
    </row>
    <row r="23" spans="1:10" x14ac:dyDescent="0.25">
      <c r="A23" s="225"/>
      <c r="B23" s="226" t="s">
        <v>225</v>
      </c>
      <c r="C23" s="1010"/>
      <c r="D23" s="227">
        <f>D24</f>
        <v>15093000</v>
      </c>
      <c r="E23" s="227">
        <f t="shared" si="6"/>
        <v>8643000</v>
      </c>
      <c r="F23" s="227">
        <f t="shared" si="6"/>
        <v>8643000</v>
      </c>
      <c r="G23" s="227">
        <f t="shared" si="6"/>
        <v>8643000</v>
      </c>
      <c r="H23" s="227">
        <f t="shared" si="6"/>
        <v>8643000</v>
      </c>
      <c r="I23" s="227">
        <f t="shared" si="6"/>
        <v>8643000</v>
      </c>
      <c r="J23" s="227">
        <f t="shared" si="6"/>
        <v>8643000</v>
      </c>
    </row>
    <row r="24" spans="1:10" x14ac:dyDescent="0.25">
      <c r="A24" s="225"/>
      <c r="B24" s="226" t="s">
        <v>177</v>
      </c>
      <c r="C24" s="1010"/>
      <c r="D24" s="227">
        <f>'таблица (всего)'!D80</f>
        <v>15093000</v>
      </c>
      <c r="E24" s="227">
        <f>'таблица (всего)'!E80</f>
        <v>8643000</v>
      </c>
      <c r="F24" s="227">
        <f>'таблица (всего)'!F80</f>
        <v>8643000</v>
      </c>
      <c r="G24" s="227">
        <f>'таблица (всего)'!G80</f>
        <v>8643000</v>
      </c>
      <c r="H24" s="227">
        <f>'таблица (всего)'!H80</f>
        <v>8643000</v>
      </c>
      <c r="I24" s="227">
        <f>'таблица (всего)'!I80</f>
        <v>8643000</v>
      </c>
      <c r="J24" s="227">
        <f>'таблица (всего)'!J80</f>
        <v>8643000</v>
      </c>
    </row>
    <row r="25" spans="1:10" x14ac:dyDescent="0.25">
      <c r="A25" s="225"/>
      <c r="B25" s="226" t="s">
        <v>178</v>
      </c>
      <c r="C25" s="1010"/>
      <c r="D25" s="228" t="s">
        <v>227</v>
      </c>
      <c r="E25" s="228" t="s">
        <v>227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</row>
  </sheetData>
  <mergeCells count="8">
    <mergeCell ref="C19:C21"/>
    <mergeCell ref="C23:C25"/>
    <mergeCell ref="I1:J1"/>
    <mergeCell ref="C7:C9"/>
    <mergeCell ref="C11:C13"/>
    <mergeCell ref="C15:C17"/>
    <mergeCell ref="A2:J2"/>
    <mergeCell ref="A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4"/>
  <sheetViews>
    <sheetView zoomScale="90" zoomScaleNormal="90" workbookViewId="0">
      <selection activeCell="F74" sqref="F74:J74"/>
    </sheetView>
  </sheetViews>
  <sheetFormatPr defaultRowHeight="15" x14ac:dyDescent="0.25"/>
  <cols>
    <col min="1" max="1" width="6.28515625" style="236" customWidth="1"/>
    <col min="2" max="2" width="41" style="236" customWidth="1"/>
    <col min="3" max="3" width="15.5703125" style="236" customWidth="1"/>
    <col min="4" max="5" width="15.5703125" style="236" hidden="1" customWidth="1"/>
    <col min="6" max="10" width="15.5703125" style="312" customWidth="1"/>
    <col min="11" max="11" width="10.7109375" bestFit="1" customWidth="1"/>
  </cols>
  <sheetData>
    <row r="1" spans="1:17" ht="103.5" customHeight="1" x14ac:dyDescent="0.25">
      <c r="A1" s="232"/>
      <c r="B1" s="219"/>
      <c r="C1" s="232"/>
      <c r="D1" s="235"/>
      <c r="E1" s="235"/>
      <c r="F1" s="235"/>
      <c r="I1" s="1016" t="s">
        <v>189</v>
      </c>
      <c r="J1" s="1016"/>
    </row>
    <row r="2" spans="1:17" ht="18.75" x14ac:dyDescent="0.25">
      <c r="A2" s="1012" t="s">
        <v>259</v>
      </c>
      <c r="B2" s="1012"/>
      <c r="C2" s="1012"/>
      <c r="D2" s="1012"/>
      <c r="E2" s="1012"/>
      <c r="F2" s="1012"/>
      <c r="G2" s="1012"/>
      <c r="H2" s="1012"/>
      <c r="I2" s="1012"/>
      <c r="J2" s="1012"/>
    </row>
    <row r="3" spans="1:17" ht="18.75" x14ac:dyDescent="0.25">
      <c r="A3" s="1014" t="s">
        <v>171</v>
      </c>
      <c r="B3" s="1014"/>
      <c r="C3" s="1014"/>
      <c r="D3" s="1014"/>
      <c r="E3" s="1014"/>
      <c r="F3" s="1014"/>
      <c r="G3" s="1014"/>
      <c r="H3" s="1014"/>
      <c r="I3" s="1014"/>
      <c r="J3" s="1014"/>
    </row>
    <row r="4" spans="1:17" ht="18.75" x14ac:dyDescent="0.25">
      <c r="A4" s="233"/>
      <c r="B4" s="220"/>
      <c r="C4" s="233"/>
      <c r="D4" s="233"/>
      <c r="E4" s="233"/>
      <c r="F4" s="235"/>
      <c r="J4" s="79" t="s">
        <v>172</v>
      </c>
    </row>
    <row r="5" spans="1:17" ht="25.5" x14ac:dyDescent="0.25">
      <c r="A5" s="224" t="s">
        <v>173</v>
      </c>
      <c r="B5" s="224" t="s">
        <v>223</v>
      </c>
      <c r="C5" s="224" t="s">
        <v>175</v>
      </c>
      <c r="D5" s="224">
        <v>2014</v>
      </c>
      <c r="E5" s="224">
        <v>2015</v>
      </c>
      <c r="F5" s="311">
        <v>2016</v>
      </c>
      <c r="G5" s="311">
        <v>2017</v>
      </c>
      <c r="H5" s="311">
        <v>2018</v>
      </c>
      <c r="I5" s="311">
        <v>2019</v>
      </c>
      <c r="J5" s="311">
        <v>2020</v>
      </c>
    </row>
    <row r="6" spans="1:17" x14ac:dyDescent="0.25">
      <c r="A6" s="226"/>
      <c r="B6" s="226" t="s">
        <v>224</v>
      </c>
      <c r="C6" s="226"/>
      <c r="D6" s="147">
        <f>D7</f>
        <v>157719300</v>
      </c>
      <c r="E6" s="147">
        <f t="shared" ref="E6:J6" si="0">E7</f>
        <v>126417352.23999999</v>
      </c>
      <c r="F6" s="147">
        <f t="shared" si="0"/>
        <v>119638000.08999999</v>
      </c>
      <c r="G6" s="147">
        <f t="shared" si="0"/>
        <v>109456999.25999999</v>
      </c>
      <c r="H6" s="147">
        <f t="shared" si="0"/>
        <v>109456999.25999999</v>
      </c>
      <c r="I6" s="147">
        <f t="shared" si="0"/>
        <v>109456999.39</v>
      </c>
      <c r="J6" s="147">
        <f t="shared" si="0"/>
        <v>109456999.39</v>
      </c>
      <c r="K6" s="243">
        <f>D6-'таблица (всего)'!D81</f>
        <v>0</v>
      </c>
      <c r="L6" s="243">
        <f>E6-'таблица (всего)'!E81</f>
        <v>0</v>
      </c>
      <c r="M6" s="243">
        <f>F6-'таблица (всего)'!F81</f>
        <v>0</v>
      </c>
      <c r="N6" s="243">
        <f>G6-'таблица (всего)'!G81</f>
        <v>0</v>
      </c>
      <c r="O6" s="243">
        <f>H6-'таблица (всего)'!H81</f>
        <v>0</v>
      </c>
      <c r="P6" s="243">
        <f>I6-'таблица (всего)'!I81</f>
        <v>0</v>
      </c>
      <c r="Q6" s="243">
        <f>J6-'таблица (всего)'!J81</f>
        <v>0</v>
      </c>
    </row>
    <row r="7" spans="1:17" x14ac:dyDescent="0.25">
      <c r="A7" s="226"/>
      <c r="B7" s="226" t="s">
        <v>225</v>
      </c>
      <c r="C7" s="1017"/>
      <c r="D7" s="147">
        <f>D8+D10</f>
        <v>157719300</v>
      </c>
      <c r="E7" s="147">
        <f t="shared" ref="E7:J7" si="1">E8+E10</f>
        <v>126417352.23999999</v>
      </c>
      <c r="F7" s="147">
        <f t="shared" si="1"/>
        <v>119638000.08999999</v>
      </c>
      <c r="G7" s="147">
        <f t="shared" si="1"/>
        <v>109456999.25999999</v>
      </c>
      <c r="H7" s="147">
        <f t="shared" si="1"/>
        <v>109456999.25999999</v>
      </c>
      <c r="I7" s="147">
        <f t="shared" si="1"/>
        <v>109456999.39</v>
      </c>
      <c r="J7" s="147">
        <f t="shared" si="1"/>
        <v>109456999.39</v>
      </c>
      <c r="K7" s="244"/>
      <c r="L7" s="244"/>
      <c r="M7" s="244"/>
      <c r="N7" s="244"/>
      <c r="O7" s="244"/>
      <c r="P7" s="244"/>
      <c r="Q7" s="244"/>
    </row>
    <row r="8" spans="1:17" x14ac:dyDescent="0.25">
      <c r="A8" s="226"/>
      <c r="B8" s="226" t="s">
        <v>177</v>
      </c>
      <c r="C8" s="1018"/>
      <c r="D8" s="147">
        <f t="shared" ref="D8:J8" si="2">D15+D29+D41+D49+D57+D65</f>
        <v>157619300</v>
      </c>
      <c r="E8" s="147">
        <f t="shared" si="2"/>
        <v>126317352.23999999</v>
      </c>
      <c r="F8" s="147">
        <f t="shared" si="2"/>
        <v>119538000.08999999</v>
      </c>
      <c r="G8" s="147">
        <f t="shared" si="2"/>
        <v>109356999.25999999</v>
      </c>
      <c r="H8" s="147">
        <f t="shared" si="2"/>
        <v>109356999.25999999</v>
      </c>
      <c r="I8" s="147">
        <f t="shared" si="2"/>
        <v>109356999.39</v>
      </c>
      <c r="J8" s="147">
        <f t="shared" si="2"/>
        <v>109356999.39</v>
      </c>
      <c r="K8" s="243">
        <f>D8-'таблица (всего)'!D83+D10</f>
        <v>0</v>
      </c>
      <c r="L8" s="243">
        <f>E8-'таблица (всего)'!E83+E10</f>
        <v>0</v>
      </c>
      <c r="M8" s="243">
        <f>F8-'таблица (всего)'!F83+F10</f>
        <v>0</v>
      </c>
      <c r="N8" s="243">
        <f>G8-'таблица (всего)'!G83+G10</f>
        <v>0</v>
      </c>
      <c r="O8" s="243">
        <f>H8-'таблица (всего)'!H83+H10</f>
        <v>0</v>
      </c>
      <c r="P8" s="243">
        <f>I8-'таблица (всего)'!I83+I10</f>
        <v>0</v>
      </c>
      <c r="Q8" s="243">
        <f>J8-'таблица (всего)'!J83+J10</f>
        <v>0</v>
      </c>
    </row>
    <row r="9" spans="1:17" x14ac:dyDescent="0.25">
      <c r="A9" s="226"/>
      <c r="B9" s="226" t="s">
        <v>178</v>
      </c>
      <c r="C9" s="1018"/>
      <c r="D9" s="239" t="s">
        <v>227</v>
      </c>
      <c r="E9" s="239" t="s">
        <v>227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</row>
    <row r="10" spans="1:17" x14ac:dyDescent="0.25">
      <c r="A10" s="226"/>
      <c r="B10" s="226" t="s">
        <v>226</v>
      </c>
      <c r="C10" s="1018"/>
      <c r="D10" s="147">
        <f>D17</f>
        <v>100000</v>
      </c>
      <c r="E10" s="147">
        <f t="shared" ref="E10:J10" si="3">E17</f>
        <v>100000</v>
      </c>
      <c r="F10" s="147">
        <f t="shared" si="3"/>
        <v>100000</v>
      </c>
      <c r="G10" s="147">
        <f t="shared" si="3"/>
        <v>100000</v>
      </c>
      <c r="H10" s="147">
        <f t="shared" si="3"/>
        <v>100000</v>
      </c>
      <c r="I10" s="147">
        <f t="shared" si="3"/>
        <v>100000</v>
      </c>
      <c r="J10" s="147">
        <f t="shared" si="3"/>
        <v>100000</v>
      </c>
    </row>
    <row r="11" spans="1:17" x14ac:dyDescent="0.25">
      <c r="A11" s="226"/>
      <c r="B11" s="226" t="s">
        <v>179</v>
      </c>
      <c r="C11" s="1018"/>
      <c r="D11" s="239" t="s">
        <v>227</v>
      </c>
      <c r="E11" s="239" t="s">
        <v>227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O11" s="241"/>
    </row>
    <row r="12" spans="1:17" ht="27.75" customHeight="1" x14ac:dyDescent="0.25">
      <c r="A12" s="242"/>
      <c r="B12" s="226" t="s">
        <v>230</v>
      </c>
      <c r="C12" s="1019"/>
      <c r="D12" s="239" t="s">
        <v>227</v>
      </c>
      <c r="E12" s="239" t="s">
        <v>227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O12" s="238"/>
    </row>
    <row r="13" spans="1:17" ht="69" customHeight="1" x14ac:dyDescent="0.25">
      <c r="A13" s="226" t="s">
        <v>228</v>
      </c>
      <c r="B13" s="291" t="str">
        <f>'таблица (всего)'!C84</f>
        <v xml:space="preserve">«Выхаживание и содержание детей-сирот, детей, оставшихся без попечения родителей, и детей, находящихся в трудной жизненной ситуации, с рождения и до достижения ими возраста четырех лет включительно» </v>
      </c>
      <c r="C13" s="226" t="s">
        <v>180</v>
      </c>
      <c r="D13" s="147">
        <f>D14</f>
        <v>51325300</v>
      </c>
      <c r="E13" s="147">
        <f t="shared" ref="E13:J13" si="4">E14</f>
        <v>49569292</v>
      </c>
      <c r="F13" s="147">
        <f t="shared" si="4"/>
        <v>49041567.780000001</v>
      </c>
      <c r="G13" s="147">
        <f t="shared" si="4"/>
        <v>43585405.539999999</v>
      </c>
      <c r="H13" s="147">
        <f t="shared" si="4"/>
        <v>43585405.539999999</v>
      </c>
      <c r="I13" s="147">
        <f t="shared" si="4"/>
        <v>43585405.539999999</v>
      </c>
      <c r="J13" s="147">
        <f t="shared" si="4"/>
        <v>43585405.539999999</v>
      </c>
    </row>
    <row r="14" spans="1:17" x14ac:dyDescent="0.25">
      <c r="A14" s="226"/>
      <c r="B14" s="226" t="s">
        <v>225</v>
      </c>
      <c r="C14" s="1020"/>
      <c r="D14" s="147">
        <f>D15+D17</f>
        <v>51325300</v>
      </c>
      <c r="E14" s="147">
        <f t="shared" ref="E14:J14" si="5">E15+E17</f>
        <v>49569292</v>
      </c>
      <c r="F14" s="147">
        <f t="shared" si="5"/>
        <v>49041567.780000001</v>
      </c>
      <c r="G14" s="147">
        <f t="shared" si="5"/>
        <v>43585405.539999999</v>
      </c>
      <c r="H14" s="147">
        <f t="shared" si="5"/>
        <v>43585405.539999999</v>
      </c>
      <c r="I14" s="147">
        <f t="shared" si="5"/>
        <v>43585405.539999999</v>
      </c>
      <c r="J14" s="147">
        <f t="shared" si="5"/>
        <v>43585405.539999999</v>
      </c>
    </row>
    <row r="15" spans="1:17" x14ac:dyDescent="0.25">
      <c r="A15" s="226"/>
      <c r="B15" s="226" t="s">
        <v>177</v>
      </c>
      <c r="C15" s="1020"/>
      <c r="D15" s="147">
        <f t="shared" ref="D15:J15" si="6">D20+D24</f>
        <v>51225300</v>
      </c>
      <c r="E15" s="147">
        <f t="shared" si="6"/>
        <v>49469292</v>
      </c>
      <c r="F15" s="147">
        <f t="shared" si="6"/>
        <v>48941567.780000001</v>
      </c>
      <c r="G15" s="147">
        <f t="shared" si="6"/>
        <v>43485405.539999999</v>
      </c>
      <c r="H15" s="147">
        <f t="shared" si="6"/>
        <v>43485405.539999999</v>
      </c>
      <c r="I15" s="147">
        <f t="shared" si="6"/>
        <v>43485405.539999999</v>
      </c>
      <c r="J15" s="147">
        <f t="shared" si="6"/>
        <v>43485405.539999999</v>
      </c>
    </row>
    <row r="16" spans="1:17" x14ac:dyDescent="0.25">
      <c r="A16" s="226"/>
      <c r="B16" s="226" t="s">
        <v>178</v>
      </c>
      <c r="C16" s="1020"/>
      <c r="D16" s="239" t="s">
        <v>227</v>
      </c>
      <c r="E16" s="239" t="s">
        <v>227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</row>
    <row r="17" spans="1:10" x14ac:dyDescent="0.25">
      <c r="A17" s="226"/>
      <c r="B17" s="226" t="s">
        <v>226</v>
      </c>
      <c r="C17" s="1020"/>
      <c r="D17" s="147">
        <f>D26</f>
        <v>100000</v>
      </c>
      <c r="E17" s="147">
        <f t="shared" ref="E17:J17" si="7">E26</f>
        <v>100000</v>
      </c>
      <c r="F17" s="147">
        <f t="shared" si="7"/>
        <v>100000</v>
      </c>
      <c r="G17" s="147">
        <f t="shared" si="7"/>
        <v>100000</v>
      </c>
      <c r="H17" s="147">
        <f t="shared" si="7"/>
        <v>100000</v>
      </c>
      <c r="I17" s="147">
        <f t="shared" si="7"/>
        <v>100000</v>
      </c>
      <c r="J17" s="147">
        <f t="shared" si="7"/>
        <v>100000</v>
      </c>
    </row>
    <row r="18" spans="1:10" ht="70.5" customHeight="1" x14ac:dyDescent="0.25">
      <c r="A18" s="240" t="s">
        <v>234</v>
      </c>
      <c r="B18" s="229" t="str">
        <f>'таблица (всего)'!C85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18" s="226" t="s">
        <v>255</v>
      </c>
      <c r="D18" s="147">
        <f>D19</f>
        <v>743600</v>
      </c>
      <c r="E18" s="147">
        <f t="shared" ref="E18:J19" si="8">E19</f>
        <v>2333100</v>
      </c>
      <c r="F18" s="147">
        <f t="shared" si="8"/>
        <v>3281296.21</v>
      </c>
      <c r="G18" s="147">
        <f t="shared" si="8"/>
        <v>3281296.21</v>
      </c>
      <c r="H18" s="147">
        <f t="shared" si="8"/>
        <v>3281296.21</v>
      </c>
      <c r="I18" s="147">
        <f t="shared" si="8"/>
        <v>3281296.21</v>
      </c>
      <c r="J18" s="147">
        <f t="shared" si="8"/>
        <v>3281296.21</v>
      </c>
    </row>
    <row r="19" spans="1:10" x14ac:dyDescent="0.25">
      <c r="A19" s="226"/>
      <c r="B19" s="226" t="s">
        <v>225</v>
      </c>
      <c r="C19" s="1017"/>
      <c r="D19" s="147">
        <f>D20</f>
        <v>743600</v>
      </c>
      <c r="E19" s="147">
        <f t="shared" si="8"/>
        <v>2333100</v>
      </c>
      <c r="F19" s="147">
        <f t="shared" si="8"/>
        <v>3281296.21</v>
      </c>
      <c r="G19" s="147">
        <f t="shared" si="8"/>
        <v>3281296.21</v>
      </c>
      <c r="H19" s="147">
        <f t="shared" si="8"/>
        <v>3281296.21</v>
      </c>
      <c r="I19" s="147">
        <f t="shared" si="8"/>
        <v>3281296.21</v>
      </c>
      <c r="J19" s="147">
        <f t="shared" si="8"/>
        <v>3281296.21</v>
      </c>
    </row>
    <row r="20" spans="1:10" x14ac:dyDescent="0.25">
      <c r="A20" s="226"/>
      <c r="B20" s="226" t="s">
        <v>177</v>
      </c>
      <c r="C20" s="1018"/>
      <c r="D20" s="147">
        <f>'таблица (всего)'!D85</f>
        <v>743600</v>
      </c>
      <c r="E20" s="147">
        <f>'таблица (всего)'!E85</f>
        <v>2333100</v>
      </c>
      <c r="F20" s="147">
        <f>'таблица (всего)'!F85</f>
        <v>3281296.21</v>
      </c>
      <c r="G20" s="147">
        <f>'таблица (всего)'!G85</f>
        <v>3281296.21</v>
      </c>
      <c r="H20" s="147">
        <f>'таблица (всего)'!H85</f>
        <v>3281296.21</v>
      </c>
      <c r="I20" s="147">
        <f>'таблица (всего)'!I85</f>
        <v>3281296.21</v>
      </c>
      <c r="J20" s="147">
        <f>'таблица (всего)'!J85</f>
        <v>3281296.21</v>
      </c>
    </row>
    <row r="21" spans="1:10" x14ac:dyDescent="0.25">
      <c r="A21" s="226"/>
      <c r="B21" s="226" t="s">
        <v>178</v>
      </c>
      <c r="C21" s="1018"/>
      <c r="D21" s="239" t="s">
        <v>227</v>
      </c>
      <c r="E21" s="239" t="s">
        <v>227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</row>
    <row r="22" spans="1:10" ht="78" customHeight="1" x14ac:dyDescent="0.25">
      <c r="A22" s="240" t="s">
        <v>235</v>
      </c>
      <c r="B22" s="229" t="str">
        <f>'таблица (всего)'!C86</f>
        <v xml:space="preserve">Обеспечение содержания, воспитания, оказания медицинской и социальной помощи детям-сиротам и детям, оставшимся без попечения родителей, детям, находящимся в трудной жизненной ситуации, до достижения ими возраста четырех лет включительно
</v>
      </c>
      <c r="C22" s="226" t="s">
        <v>180</v>
      </c>
      <c r="D22" s="147">
        <f>D23</f>
        <v>50581700</v>
      </c>
      <c r="E22" s="147">
        <f t="shared" ref="E22:J22" si="9">E23</f>
        <v>47236192</v>
      </c>
      <c r="F22" s="147">
        <f t="shared" si="9"/>
        <v>45760271.57</v>
      </c>
      <c r="G22" s="147">
        <f t="shared" si="9"/>
        <v>40304109.329999998</v>
      </c>
      <c r="H22" s="147">
        <f t="shared" si="9"/>
        <v>40304109.329999998</v>
      </c>
      <c r="I22" s="147">
        <f t="shared" si="9"/>
        <v>40304109.329999998</v>
      </c>
      <c r="J22" s="147">
        <f t="shared" si="9"/>
        <v>40304109.329999998</v>
      </c>
    </row>
    <row r="23" spans="1:10" x14ac:dyDescent="0.25">
      <c r="A23" s="226"/>
      <c r="B23" s="226" t="s">
        <v>225</v>
      </c>
      <c r="C23" s="1020"/>
      <c r="D23" s="147">
        <f>'таблица (всего)'!D86</f>
        <v>50581700</v>
      </c>
      <c r="E23" s="147">
        <f>'таблица (всего)'!E86</f>
        <v>47236192</v>
      </c>
      <c r="F23" s="147">
        <f>'таблица (всего)'!F86</f>
        <v>45760271.57</v>
      </c>
      <c r="G23" s="147">
        <f>'таблица (всего)'!G86</f>
        <v>40304109.329999998</v>
      </c>
      <c r="H23" s="147">
        <f>'таблица (всего)'!H86</f>
        <v>40304109.329999998</v>
      </c>
      <c r="I23" s="147">
        <f>'таблица (всего)'!I86</f>
        <v>40304109.329999998</v>
      </c>
      <c r="J23" s="147">
        <f>'таблица (всего)'!J86</f>
        <v>40304109.329999998</v>
      </c>
    </row>
    <row r="24" spans="1:10" x14ac:dyDescent="0.25">
      <c r="A24" s="226"/>
      <c r="B24" s="226" t="s">
        <v>177</v>
      </c>
      <c r="C24" s="1020"/>
      <c r="D24" s="147">
        <f>D23-D26</f>
        <v>50481700</v>
      </c>
      <c r="E24" s="147">
        <f t="shared" ref="E24:J24" si="10">E23-E26</f>
        <v>47136192</v>
      </c>
      <c r="F24" s="147">
        <f t="shared" si="10"/>
        <v>45660271.57</v>
      </c>
      <c r="G24" s="147">
        <f t="shared" si="10"/>
        <v>40204109.329999998</v>
      </c>
      <c r="H24" s="147">
        <f t="shared" si="10"/>
        <v>40204109.329999998</v>
      </c>
      <c r="I24" s="147">
        <f t="shared" si="10"/>
        <v>40204109.329999998</v>
      </c>
      <c r="J24" s="147">
        <f t="shared" si="10"/>
        <v>40204109.329999998</v>
      </c>
    </row>
    <row r="25" spans="1:10" x14ac:dyDescent="0.25">
      <c r="A25" s="226"/>
      <c r="B25" s="226" t="s">
        <v>178</v>
      </c>
      <c r="C25" s="1020"/>
      <c r="D25" s="239" t="s">
        <v>227</v>
      </c>
      <c r="E25" s="239" t="s">
        <v>227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</row>
    <row r="26" spans="1:10" x14ac:dyDescent="0.25">
      <c r="A26" s="226"/>
      <c r="B26" s="226" t="s">
        <v>226</v>
      </c>
      <c r="C26" s="1020"/>
      <c r="D26" s="147">
        <v>100000</v>
      </c>
      <c r="E26" s="147">
        <v>100000</v>
      </c>
      <c r="F26" s="147">
        <v>100000</v>
      </c>
      <c r="G26" s="147">
        <v>100000</v>
      </c>
      <c r="H26" s="147">
        <v>100000</v>
      </c>
      <c r="I26" s="147">
        <v>100000</v>
      </c>
      <c r="J26" s="147">
        <v>100000</v>
      </c>
    </row>
    <row r="27" spans="1:10" ht="60.75" hidden="1" customHeight="1" x14ac:dyDescent="0.25">
      <c r="A27" s="226" t="s">
        <v>229</v>
      </c>
      <c r="B27" s="229" t="str">
        <f>'таблица (всего)'!C87</f>
        <v>«Оказание санаторно-оздоровительной помощи»</v>
      </c>
      <c r="C27" s="226" t="s">
        <v>180</v>
      </c>
      <c r="D27" s="147">
        <f>D28</f>
        <v>35919900</v>
      </c>
      <c r="E27" s="147">
        <f t="shared" ref="E27:J28" si="11">E28</f>
        <v>7146573.0099999998</v>
      </c>
      <c r="F27" s="147">
        <f t="shared" si="11"/>
        <v>0</v>
      </c>
      <c r="G27" s="147">
        <f t="shared" si="11"/>
        <v>0</v>
      </c>
      <c r="H27" s="147">
        <f t="shared" si="11"/>
        <v>0</v>
      </c>
      <c r="I27" s="147">
        <f t="shared" si="11"/>
        <v>0</v>
      </c>
      <c r="J27" s="147">
        <f t="shared" si="11"/>
        <v>0</v>
      </c>
    </row>
    <row r="28" spans="1:10" hidden="1" x14ac:dyDescent="0.25">
      <c r="A28" s="226"/>
      <c r="B28" s="226" t="s">
        <v>225</v>
      </c>
      <c r="C28" s="1020"/>
      <c r="D28" s="147">
        <f>D29</f>
        <v>35919900</v>
      </c>
      <c r="E28" s="147">
        <f t="shared" si="11"/>
        <v>7146573.0099999998</v>
      </c>
      <c r="F28" s="147">
        <f t="shared" si="11"/>
        <v>0</v>
      </c>
      <c r="G28" s="147">
        <f t="shared" si="11"/>
        <v>0</v>
      </c>
      <c r="H28" s="147">
        <f t="shared" si="11"/>
        <v>0</v>
      </c>
      <c r="I28" s="147">
        <f t="shared" si="11"/>
        <v>0</v>
      </c>
      <c r="J28" s="147">
        <f t="shared" si="11"/>
        <v>0</v>
      </c>
    </row>
    <row r="29" spans="1:10" hidden="1" x14ac:dyDescent="0.25">
      <c r="A29" s="226"/>
      <c r="B29" s="226" t="s">
        <v>177</v>
      </c>
      <c r="C29" s="1020"/>
      <c r="D29" s="147">
        <f t="shared" ref="D29:J29" si="12">D33+D37</f>
        <v>35919900</v>
      </c>
      <c r="E29" s="147">
        <f t="shared" si="12"/>
        <v>7146573.0099999998</v>
      </c>
      <c r="F29" s="147">
        <f t="shared" si="12"/>
        <v>0</v>
      </c>
      <c r="G29" s="147">
        <f t="shared" si="12"/>
        <v>0</v>
      </c>
      <c r="H29" s="147">
        <f t="shared" si="12"/>
        <v>0</v>
      </c>
      <c r="I29" s="147">
        <f t="shared" si="12"/>
        <v>0</v>
      </c>
      <c r="J29" s="147">
        <f t="shared" si="12"/>
        <v>0</v>
      </c>
    </row>
    <row r="30" spans="1:10" hidden="1" x14ac:dyDescent="0.25">
      <c r="A30" s="226"/>
      <c r="B30" s="226" t="s">
        <v>178</v>
      </c>
      <c r="C30" s="1020"/>
      <c r="D30" s="239" t="s">
        <v>227</v>
      </c>
      <c r="E30" s="239" t="s">
        <v>227</v>
      </c>
      <c r="F30" s="147" t="s">
        <v>227</v>
      </c>
      <c r="G30" s="147" t="s">
        <v>227</v>
      </c>
      <c r="H30" s="147" t="s">
        <v>227</v>
      </c>
      <c r="I30" s="147" t="s">
        <v>227</v>
      </c>
      <c r="J30" s="147" t="s">
        <v>227</v>
      </c>
    </row>
    <row r="31" spans="1:10" ht="76.5" hidden="1" x14ac:dyDescent="0.25">
      <c r="A31" s="240" t="s">
        <v>236</v>
      </c>
      <c r="B31" s="226" t="str">
        <f>'таблица (всего)'!C88</f>
        <v xml:space="preserve"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
</v>
      </c>
      <c r="C31" s="226" t="s">
        <v>180</v>
      </c>
      <c r="D31" s="147">
        <f>D32</f>
        <v>6692000</v>
      </c>
      <c r="E31" s="147">
        <f t="shared" ref="E31:J32" si="13">E32</f>
        <v>1133100.01</v>
      </c>
      <c r="F31" s="147">
        <f t="shared" si="13"/>
        <v>0</v>
      </c>
      <c r="G31" s="147">
        <f t="shared" si="13"/>
        <v>0</v>
      </c>
      <c r="H31" s="147">
        <f t="shared" si="13"/>
        <v>0</v>
      </c>
      <c r="I31" s="147">
        <f t="shared" si="13"/>
        <v>0</v>
      </c>
      <c r="J31" s="147">
        <f t="shared" si="13"/>
        <v>0</v>
      </c>
    </row>
    <row r="32" spans="1:10" hidden="1" x14ac:dyDescent="0.25">
      <c r="A32" s="226"/>
      <c r="B32" s="226" t="s">
        <v>225</v>
      </c>
      <c r="C32" s="1020"/>
      <c r="D32" s="147">
        <f>D33</f>
        <v>6692000</v>
      </c>
      <c r="E32" s="147">
        <f t="shared" si="13"/>
        <v>1133100.01</v>
      </c>
      <c r="F32" s="147">
        <f t="shared" si="13"/>
        <v>0</v>
      </c>
      <c r="G32" s="147">
        <f t="shared" si="13"/>
        <v>0</v>
      </c>
      <c r="H32" s="147">
        <f t="shared" si="13"/>
        <v>0</v>
      </c>
      <c r="I32" s="147">
        <f t="shared" si="13"/>
        <v>0</v>
      </c>
      <c r="J32" s="147">
        <f t="shared" si="13"/>
        <v>0</v>
      </c>
    </row>
    <row r="33" spans="1:10" hidden="1" x14ac:dyDescent="0.25">
      <c r="A33" s="226"/>
      <c r="B33" s="226" t="s">
        <v>177</v>
      </c>
      <c r="C33" s="1020"/>
      <c r="D33" s="147">
        <f>'таблица (всего)'!D88</f>
        <v>6692000</v>
      </c>
      <c r="E33" s="147">
        <f>'таблица (всего)'!E88</f>
        <v>1133100.01</v>
      </c>
      <c r="F33" s="147">
        <f>'таблица (всего)'!F88</f>
        <v>0</v>
      </c>
      <c r="G33" s="147">
        <f>'таблица (всего)'!G88</f>
        <v>0</v>
      </c>
      <c r="H33" s="147">
        <f>'таблица (всего)'!H88</f>
        <v>0</v>
      </c>
      <c r="I33" s="147">
        <f>'таблица (всего)'!I88</f>
        <v>0</v>
      </c>
      <c r="J33" s="147">
        <f>'таблица (всего)'!J88</f>
        <v>0</v>
      </c>
    </row>
    <row r="34" spans="1:10" hidden="1" x14ac:dyDescent="0.25">
      <c r="A34" s="226"/>
      <c r="B34" s="226" t="s">
        <v>178</v>
      </c>
      <c r="C34" s="1020"/>
      <c r="D34" s="239" t="s">
        <v>227</v>
      </c>
      <c r="E34" s="239" t="s">
        <v>227</v>
      </c>
      <c r="F34" s="147" t="s">
        <v>227</v>
      </c>
      <c r="G34" s="147" t="s">
        <v>227</v>
      </c>
      <c r="H34" s="147" t="s">
        <v>227</v>
      </c>
      <c r="I34" s="147" t="s">
        <v>227</v>
      </c>
      <c r="J34" s="147" t="s">
        <v>227</v>
      </c>
    </row>
    <row r="35" spans="1:10" ht="63.75" hidden="1" x14ac:dyDescent="0.25">
      <c r="A35" s="240" t="s">
        <v>237</v>
      </c>
      <c r="B35" s="226" t="str">
        <f>'таблица (всего)'!C89</f>
        <v xml:space="preserve">Предоставление санаторно-курортной помощи детям
</v>
      </c>
      <c r="C35" s="226" t="s">
        <v>180</v>
      </c>
      <c r="D35" s="147">
        <f>D36</f>
        <v>29227900</v>
      </c>
      <c r="E35" s="147">
        <f t="shared" ref="E35:J36" si="14">E36</f>
        <v>6013473</v>
      </c>
      <c r="F35" s="147">
        <f t="shared" si="14"/>
        <v>0</v>
      </c>
      <c r="G35" s="147">
        <f t="shared" si="14"/>
        <v>0</v>
      </c>
      <c r="H35" s="147">
        <f t="shared" si="14"/>
        <v>0</v>
      </c>
      <c r="I35" s="147">
        <f t="shared" si="14"/>
        <v>0</v>
      </c>
      <c r="J35" s="147">
        <f t="shared" si="14"/>
        <v>0</v>
      </c>
    </row>
    <row r="36" spans="1:10" hidden="1" x14ac:dyDescent="0.25">
      <c r="A36" s="226"/>
      <c r="B36" s="226" t="s">
        <v>225</v>
      </c>
      <c r="C36" s="1020"/>
      <c r="D36" s="147">
        <f>D37</f>
        <v>29227900</v>
      </c>
      <c r="E36" s="147">
        <f t="shared" si="14"/>
        <v>6013473</v>
      </c>
      <c r="F36" s="147">
        <f t="shared" si="14"/>
        <v>0</v>
      </c>
      <c r="G36" s="147">
        <f t="shared" si="14"/>
        <v>0</v>
      </c>
      <c r="H36" s="147">
        <f t="shared" si="14"/>
        <v>0</v>
      </c>
      <c r="I36" s="147">
        <f t="shared" si="14"/>
        <v>0</v>
      </c>
      <c r="J36" s="147">
        <f t="shared" si="14"/>
        <v>0</v>
      </c>
    </row>
    <row r="37" spans="1:10" hidden="1" x14ac:dyDescent="0.25">
      <c r="A37" s="226"/>
      <c r="B37" s="226" t="s">
        <v>177</v>
      </c>
      <c r="C37" s="1020"/>
      <c r="D37" s="147">
        <f>'таблица (всего)'!D89</f>
        <v>29227900</v>
      </c>
      <c r="E37" s="147">
        <f>'таблица (всего)'!E89</f>
        <v>6013473</v>
      </c>
      <c r="F37" s="147">
        <f>'таблица (всего)'!F89</f>
        <v>0</v>
      </c>
      <c r="G37" s="147">
        <f>'таблица (всего)'!G89</f>
        <v>0</v>
      </c>
      <c r="H37" s="147">
        <f>'таблица (всего)'!H89</f>
        <v>0</v>
      </c>
      <c r="I37" s="147">
        <f>'таблица (всего)'!I89</f>
        <v>0</v>
      </c>
      <c r="J37" s="147">
        <f>'таблица (всего)'!J89</f>
        <v>0</v>
      </c>
    </row>
    <row r="38" spans="1:10" hidden="1" x14ac:dyDescent="0.25">
      <c r="A38" s="226"/>
      <c r="B38" s="226" t="s">
        <v>178</v>
      </c>
      <c r="C38" s="1020"/>
      <c r="D38" s="239" t="s">
        <v>227</v>
      </c>
      <c r="E38" s="239" t="s">
        <v>227</v>
      </c>
      <c r="F38" s="147" t="s">
        <v>227</v>
      </c>
      <c r="G38" s="147" t="s">
        <v>227</v>
      </c>
      <c r="H38" s="147" t="s">
        <v>227</v>
      </c>
      <c r="I38" s="147" t="s">
        <v>227</v>
      </c>
      <c r="J38" s="147" t="s">
        <v>227</v>
      </c>
    </row>
    <row r="39" spans="1:10" ht="51" x14ac:dyDescent="0.25">
      <c r="A39" s="226" t="s">
        <v>231</v>
      </c>
      <c r="B39" s="229" t="str">
        <f>'таблица (всего)'!C90</f>
        <v>«Выполнение мероприятий, направленных на спасение жизни людей и защиту их здоровья при чрезвычайных ситуациях»</v>
      </c>
      <c r="C39" s="226" t="s">
        <v>180</v>
      </c>
      <c r="D39" s="147">
        <f>D40</f>
        <v>3748100</v>
      </c>
      <c r="E39" s="147">
        <f t="shared" ref="E39:J40" si="15">E40</f>
        <v>3608099.37</v>
      </c>
      <c r="F39" s="147">
        <f t="shared" si="15"/>
        <v>3608099.37</v>
      </c>
      <c r="G39" s="147">
        <f t="shared" si="15"/>
        <v>3371276.69</v>
      </c>
      <c r="H39" s="147">
        <f t="shared" si="15"/>
        <v>3371276.69</v>
      </c>
      <c r="I39" s="147">
        <f t="shared" si="15"/>
        <v>3371276.69</v>
      </c>
      <c r="J39" s="147">
        <f t="shared" si="15"/>
        <v>3371276.69</v>
      </c>
    </row>
    <row r="40" spans="1:10" x14ac:dyDescent="0.25">
      <c r="A40" s="226"/>
      <c r="B40" s="226" t="s">
        <v>225</v>
      </c>
      <c r="C40" s="1020"/>
      <c r="D40" s="147">
        <f>D41</f>
        <v>3748100</v>
      </c>
      <c r="E40" s="147">
        <f t="shared" si="15"/>
        <v>3608099.37</v>
      </c>
      <c r="F40" s="147">
        <f t="shared" si="15"/>
        <v>3608099.37</v>
      </c>
      <c r="G40" s="147">
        <f t="shared" si="15"/>
        <v>3371276.69</v>
      </c>
      <c r="H40" s="147">
        <f t="shared" si="15"/>
        <v>3371276.69</v>
      </c>
      <c r="I40" s="147">
        <f t="shared" si="15"/>
        <v>3371276.69</v>
      </c>
      <c r="J40" s="147">
        <f t="shared" si="15"/>
        <v>3371276.69</v>
      </c>
    </row>
    <row r="41" spans="1:10" x14ac:dyDescent="0.25">
      <c r="A41" s="226"/>
      <c r="B41" s="226" t="s">
        <v>177</v>
      </c>
      <c r="C41" s="1020"/>
      <c r="D41" s="147">
        <f>D45</f>
        <v>3748100</v>
      </c>
      <c r="E41" s="147">
        <f t="shared" ref="E41:J41" si="16">E45</f>
        <v>3608099.37</v>
      </c>
      <c r="F41" s="147">
        <f t="shared" si="16"/>
        <v>3608099.37</v>
      </c>
      <c r="G41" s="147">
        <f t="shared" si="16"/>
        <v>3371276.69</v>
      </c>
      <c r="H41" s="147">
        <f t="shared" si="16"/>
        <v>3371276.69</v>
      </c>
      <c r="I41" s="147">
        <f t="shared" si="16"/>
        <v>3371276.69</v>
      </c>
      <c r="J41" s="147">
        <f t="shared" si="16"/>
        <v>3371276.69</v>
      </c>
    </row>
    <row r="42" spans="1:10" x14ac:dyDescent="0.25">
      <c r="A42" s="226"/>
      <c r="B42" s="226" t="s">
        <v>178</v>
      </c>
      <c r="C42" s="1020"/>
      <c r="D42" s="239" t="s">
        <v>227</v>
      </c>
      <c r="E42" s="239" t="s">
        <v>227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</row>
    <row r="43" spans="1:10" ht="69" customHeight="1" x14ac:dyDescent="0.25">
      <c r="A43" s="240" t="s">
        <v>238</v>
      </c>
      <c r="B43" s="229" t="str">
        <f>'таблица (всего)'!C91</f>
        <v xml:space="preserve">Реализация мероприятий, направленных на медицинское обеспечение населения при чрезвычайных ситуациях, оказание экстренной и консультативной помощи, медицинской эвакуации при чрезвычайных ситуациях
</v>
      </c>
      <c r="C43" s="226" t="s">
        <v>180</v>
      </c>
      <c r="D43" s="147">
        <f>D44</f>
        <v>3748100</v>
      </c>
      <c r="E43" s="147">
        <f t="shared" ref="E43:J44" si="17">E44</f>
        <v>3608099.37</v>
      </c>
      <c r="F43" s="147">
        <f t="shared" si="17"/>
        <v>3608099.37</v>
      </c>
      <c r="G43" s="147">
        <f t="shared" si="17"/>
        <v>3371276.69</v>
      </c>
      <c r="H43" s="147">
        <f t="shared" si="17"/>
        <v>3371276.69</v>
      </c>
      <c r="I43" s="147">
        <f t="shared" si="17"/>
        <v>3371276.69</v>
      </c>
      <c r="J43" s="147">
        <f t="shared" si="17"/>
        <v>3371276.69</v>
      </c>
    </row>
    <row r="44" spans="1:10" x14ac:dyDescent="0.25">
      <c r="A44" s="226"/>
      <c r="B44" s="226" t="s">
        <v>225</v>
      </c>
      <c r="C44" s="1020"/>
      <c r="D44" s="147">
        <f>D45</f>
        <v>3748100</v>
      </c>
      <c r="E44" s="147">
        <f t="shared" si="17"/>
        <v>3608099.37</v>
      </c>
      <c r="F44" s="147">
        <f t="shared" si="17"/>
        <v>3608099.37</v>
      </c>
      <c r="G44" s="147">
        <f t="shared" si="17"/>
        <v>3371276.69</v>
      </c>
      <c r="H44" s="147">
        <f t="shared" si="17"/>
        <v>3371276.69</v>
      </c>
      <c r="I44" s="147">
        <f t="shared" si="17"/>
        <v>3371276.69</v>
      </c>
      <c r="J44" s="147">
        <f t="shared" si="17"/>
        <v>3371276.69</v>
      </c>
    </row>
    <row r="45" spans="1:10" x14ac:dyDescent="0.25">
      <c r="A45" s="226"/>
      <c r="B45" s="226" t="s">
        <v>177</v>
      </c>
      <c r="C45" s="1020"/>
      <c r="D45" s="147">
        <f>'таблица (всего)'!D91</f>
        <v>3748100</v>
      </c>
      <c r="E45" s="147">
        <f>'таблица (всего)'!E91</f>
        <v>3608099.37</v>
      </c>
      <c r="F45" s="147">
        <f>'таблица (всего)'!F91</f>
        <v>3608099.37</v>
      </c>
      <c r="G45" s="147">
        <f>'таблица (всего)'!G91</f>
        <v>3371276.69</v>
      </c>
      <c r="H45" s="147">
        <f>'таблица (всего)'!H91</f>
        <v>3371276.69</v>
      </c>
      <c r="I45" s="147">
        <f>'таблица (всего)'!I91</f>
        <v>3371276.69</v>
      </c>
      <c r="J45" s="147">
        <f>'таблица (всего)'!J91</f>
        <v>3371276.69</v>
      </c>
    </row>
    <row r="46" spans="1:10" x14ac:dyDescent="0.25">
      <c r="A46" s="226"/>
      <c r="B46" s="226" t="s">
        <v>178</v>
      </c>
      <c r="C46" s="1020"/>
      <c r="D46" s="239" t="s">
        <v>227</v>
      </c>
      <c r="E46" s="239" t="s">
        <v>227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</row>
    <row r="47" spans="1:10" ht="51" x14ac:dyDescent="0.25">
      <c r="A47" s="226" t="s">
        <v>232</v>
      </c>
      <c r="B47" s="229" t="str">
        <f>'таблица (всего)'!C92</f>
        <v xml:space="preserve"> «Формирование и сопровождение единой информационно-аналитической системы здравоохранения Ивановской области»</v>
      </c>
      <c r="C47" s="226" t="s">
        <v>180</v>
      </c>
      <c r="D47" s="147">
        <f>D48</f>
        <v>6590100</v>
      </c>
      <c r="E47" s="147">
        <f t="shared" ref="E47:J48" si="18">E48</f>
        <v>6029335.8600000003</v>
      </c>
      <c r="F47" s="147">
        <f t="shared" si="18"/>
        <v>6413870.2800000003</v>
      </c>
      <c r="G47" s="147">
        <f t="shared" si="18"/>
        <v>6705615.8700000001</v>
      </c>
      <c r="H47" s="147">
        <f t="shared" si="18"/>
        <v>6705615.8700000001</v>
      </c>
      <c r="I47" s="147">
        <f t="shared" si="18"/>
        <v>6705616</v>
      </c>
      <c r="J47" s="147">
        <f t="shared" si="18"/>
        <v>6705616</v>
      </c>
    </row>
    <row r="48" spans="1:10" x14ac:dyDescent="0.25">
      <c r="A48" s="226"/>
      <c r="B48" s="226" t="s">
        <v>225</v>
      </c>
      <c r="C48" s="1017"/>
      <c r="D48" s="147">
        <f>D49</f>
        <v>6590100</v>
      </c>
      <c r="E48" s="147">
        <f t="shared" si="18"/>
        <v>6029335.8600000003</v>
      </c>
      <c r="F48" s="147">
        <f t="shared" si="18"/>
        <v>6413870.2800000003</v>
      </c>
      <c r="G48" s="147">
        <f t="shared" si="18"/>
        <v>6705615.8700000001</v>
      </c>
      <c r="H48" s="147">
        <f t="shared" si="18"/>
        <v>6705615.8700000001</v>
      </c>
      <c r="I48" s="147">
        <f t="shared" si="18"/>
        <v>6705616</v>
      </c>
      <c r="J48" s="147">
        <f t="shared" si="18"/>
        <v>6705616</v>
      </c>
    </row>
    <row r="49" spans="1:10" x14ac:dyDescent="0.25">
      <c r="A49" s="226"/>
      <c r="B49" s="226" t="s">
        <v>177</v>
      </c>
      <c r="C49" s="1018"/>
      <c r="D49" s="147">
        <f>D53</f>
        <v>6590100</v>
      </c>
      <c r="E49" s="147">
        <f t="shared" ref="E49:J49" si="19">E53</f>
        <v>6029335.8600000003</v>
      </c>
      <c r="F49" s="147">
        <f t="shared" si="19"/>
        <v>6413870.2800000003</v>
      </c>
      <c r="G49" s="147">
        <f t="shared" si="19"/>
        <v>6705615.8700000001</v>
      </c>
      <c r="H49" s="147">
        <f t="shared" si="19"/>
        <v>6705615.8700000001</v>
      </c>
      <c r="I49" s="147">
        <f t="shared" si="19"/>
        <v>6705616</v>
      </c>
      <c r="J49" s="147">
        <f t="shared" si="19"/>
        <v>6705616</v>
      </c>
    </row>
    <row r="50" spans="1:10" x14ac:dyDescent="0.25">
      <c r="A50" s="226"/>
      <c r="B50" s="226" t="s">
        <v>178</v>
      </c>
      <c r="C50" s="1018"/>
      <c r="D50" s="239" t="s">
        <v>227</v>
      </c>
      <c r="E50" s="239" t="s">
        <v>227</v>
      </c>
      <c r="F50" s="147">
        <v>0</v>
      </c>
      <c r="G50" s="147">
        <v>0</v>
      </c>
      <c r="H50" s="147">
        <v>0</v>
      </c>
      <c r="I50" s="147">
        <v>0</v>
      </c>
      <c r="J50" s="147">
        <v>0</v>
      </c>
    </row>
    <row r="51" spans="1:10" ht="70.5" customHeight="1" x14ac:dyDescent="0.25">
      <c r="A51" s="240" t="s">
        <v>242</v>
      </c>
      <c r="B51" s="229" t="str">
        <f>'таблица (всего)'!C93</f>
        <v xml:space="preserve">Обеспечение деятельности единой информационно-аналитической системы здравоохранения Ивановской области, направленной на своевременное и достоверное предоставление информации
</v>
      </c>
      <c r="C51" s="226" t="s">
        <v>180</v>
      </c>
      <c r="D51" s="147">
        <f>D52</f>
        <v>6590100</v>
      </c>
      <c r="E51" s="147">
        <f t="shared" ref="E51:J52" si="20">E52</f>
        <v>6029335.8600000003</v>
      </c>
      <c r="F51" s="147">
        <f t="shared" si="20"/>
        <v>6413870.2800000003</v>
      </c>
      <c r="G51" s="147">
        <f t="shared" si="20"/>
        <v>6705615.8700000001</v>
      </c>
      <c r="H51" s="147">
        <f t="shared" si="20"/>
        <v>6705615.8700000001</v>
      </c>
      <c r="I51" s="147">
        <f t="shared" si="20"/>
        <v>6705616</v>
      </c>
      <c r="J51" s="147">
        <f t="shared" si="20"/>
        <v>6705616</v>
      </c>
    </row>
    <row r="52" spans="1:10" x14ac:dyDescent="0.25">
      <c r="A52" s="226"/>
      <c r="B52" s="226" t="s">
        <v>225</v>
      </c>
      <c r="C52" s="1017"/>
      <c r="D52" s="147">
        <f>D53</f>
        <v>6590100</v>
      </c>
      <c r="E52" s="147">
        <f t="shared" si="20"/>
        <v>6029335.8600000003</v>
      </c>
      <c r="F52" s="147">
        <f t="shared" si="20"/>
        <v>6413870.2800000003</v>
      </c>
      <c r="G52" s="147">
        <f t="shared" si="20"/>
        <v>6705615.8700000001</v>
      </c>
      <c r="H52" s="147">
        <f t="shared" si="20"/>
        <v>6705615.8700000001</v>
      </c>
      <c r="I52" s="147">
        <f t="shared" si="20"/>
        <v>6705616</v>
      </c>
      <c r="J52" s="147">
        <f t="shared" si="20"/>
        <v>6705616</v>
      </c>
    </row>
    <row r="53" spans="1:10" x14ac:dyDescent="0.25">
      <c r="A53" s="226"/>
      <c r="B53" s="226" t="s">
        <v>177</v>
      </c>
      <c r="C53" s="1018"/>
      <c r="D53" s="147">
        <f>'таблица (всего)'!D93</f>
        <v>6590100</v>
      </c>
      <c r="E53" s="147">
        <f>'таблица (всего)'!E93</f>
        <v>6029335.8600000003</v>
      </c>
      <c r="F53" s="147">
        <f>'таблица (всего)'!F93</f>
        <v>6413870.2800000003</v>
      </c>
      <c r="G53" s="147">
        <f>'таблица (всего)'!G93</f>
        <v>6705615.8700000001</v>
      </c>
      <c r="H53" s="147">
        <f>'таблица (всего)'!H93</f>
        <v>6705615.8700000001</v>
      </c>
      <c r="I53" s="147">
        <f>'таблица (всего)'!I93</f>
        <v>6705616</v>
      </c>
      <c r="J53" s="147">
        <f>'таблица (всего)'!J93</f>
        <v>6705616</v>
      </c>
    </row>
    <row r="54" spans="1:10" x14ac:dyDescent="0.25">
      <c r="A54" s="226"/>
      <c r="B54" s="226" t="s">
        <v>178</v>
      </c>
      <c r="C54" s="1018"/>
      <c r="D54" s="239" t="s">
        <v>227</v>
      </c>
      <c r="E54" s="239" t="s">
        <v>227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</row>
    <row r="55" spans="1:10" ht="63.75" x14ac:dyDescent="0.25">
      <c r="A55" s="226" t="s">
        <v>233</v>
      </c>
      <c r="B55" s="229" t="str">
        <f>'таблица (всего)'!C94</f>
        <v>«Выполнение мероприятий по размещению, хранению, освежению, замене материальных ценностей мобилизационного резерва медицинского и санитарно-хозяйственного назначения»</v>
      </c>
      <c r="C55" s="226" t="s">
        <v>180</v>
      </c>
      <c r="D55" s="147">
        <f>D56</f>
        <v>22438000</v>
      </c>
      <c r="E55" s="147">
        <f t="shared" ref="E55:J56" si="21">E56</f>
        <v>21243452</v>
      </c>
      <c r="F55" s="147">
        <f t="shared" si="21"/>
        <v>22190295.579999998</v>
      </c>
      <c r="G55" s="147">
        <f t="shared" si="21"/>
        <v>19198596.66</v>
      </c>
      <c r="H55" s="147">
        <f t="shared" si="21"/>
        <v>19198596.66</v>
      </c>
      <c r="I55" s="147">
        <f t="shared" si="21"/>
        <v>19198596.66</v>
      </c>
      <c r="J55" s="147">
        <f t="shared" si="21"/>
        <v>19198596.66</v>
      </c>
    </row>
    <row r="56" spans="1:10" x14ac:dyDescent="0.25">
      <c r="A56" s="226"/>
      <c r="B56" s="226" t="s">
        <v>225</v>
      </c>
      <c r="C56" s="1017"/>
      <c r="D56" s="147">
        <f>D57</f>
        <v>22438000</v>
      </c>
      <c r="E56" s="147">
        <f t="shared" si="21"/>
        <v>21243452</v>
      </c>
      <c r="F56" s="147">
        <f t="shared" si="21"/>
        <v>22190295.579999998</v>
      </c>
      <c r="G56" s="147">
        <f t="shared" si="21"/>
        <v>19198596.66</v>
      </c>
      <c r="H56" s="147">
        <f t="shared" si="21"/>
        <v>19198596.66</v>
      </c>
      <c r="I56" s="147">
        <f t="shared" si="21"/>
        <v>19198596.66</v>
      </c>
      <c r="J56" s="147">
        <f t="shared" si="21"/>
        <v>19198596.66</v>
      </c>
    </row>
    <row r="57" spans="1:10" x14ac:dyDescent="0.25">
      <c r="A57" s="226"/>
      <c r="B57" s="226" t="s">
        <v>177</v>
      </c>
      <c r="C57" s="1018"/>
      <c r="D57" s="147">
        <f>D61</f>
        <v>22438000</v>
      </c>
      <c r="E57" s="147">
        <f t="shared" ref="E57:J57" si="22">E61</f>
        <v>21243452</v>
      </c>
      <c r="F57" s="147">
        <f t="shared" si="22"/>
        <v>22190295.579999998</v>
      </c>
      <c r="G57" s="147">
        <f t="shared" si="22"/>
        <v>19198596.66</v>
      </c>
      <c r="H57" s="147">
        <f t="shared" si="22"/>
        <v>19198596.66</v>
      </c>
      <c r="I57" s="147">
        <f t="shared" si="22"/>
        <v>19198596.66</v>
      </c>
      <c r="J57" s="147">
        <f t="shared" si="22"/>
        <v>19198596.66</v>
      </c>
    </row>
    <row r="58" spans="1:10" x14ac:dyDescent="0.25">
      <c r="A58" s="226"/>
      <c r="B58" s="226" t="s">
        <v>178</v>
      </c>
      <c r="C58" s="1018"/>
      <c r="D58" s="239" t="s">
        <v>227</v>
      </c>
      <c r="E58" s="239" t="s">
        <v>227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</row>
    <row r="59" spans="1:10" ht="76.5" x14ac:dyDescent="0.25">
      <c r="A59" s="240" t="s">
        <v>244</v>
      </c>
      <c r="B59" s="229" t="str">
        <f>'таблица (всего)'!C95</f>
        <v xml:space="preserve">Реализация мероприятий, направленных на количественную и качественную сохранность материалов, принятых на ответственное хранение, и пригодность к длительному хранению
</v>
      </c>
      <c r="C59" s="226" t="s">
        <v>180</v>
      </c>
      <c r="D59" s="147">
        <f>D60</f>
        <v>22438000</v>
      </c>
      <c r="E59" s="147">
        <f t="shared" ref="E59:J60" si="23">E60</f>
        <v>21243452</v>
      </c>
      <c r="F59" s="147">
        <f t="shared" si="23"/>
        <v>22190295.579999998</v>
      </c>
      <c r="G59" s="147">
        <f t="shared" si="23"/>
        <v>19198596.66</v>
      </c>
      <c r="H59" s="147">
        <f t="shared" si="23"/>
        <v>19198596.66</v>
      </c>
      <c r="I59" s="147">
        <f t="shared" si="23"/>
        <v>19198596.66</v>
      </c>
      <c r="J59" s="147">
        <f t="shared" si="23"/>
        <v>19198596.66</v>
      </c>
    </row>
    <row r="60" spans="1:10" x14ac:dyDescent="0.25">
      <c r="A60" s="226"/>
      <c r="B60" s="226" t="s">
        <v>225</v>
      </c>
      <c r="C60" s="1017"/>
      <c r="D60" s="147">
        <f>D61</f>
        <v>22438000</v>
      </c>
      <c r="E60" s="147">
        <f t="shared" si="23"/>
        <v>21243452</v>
      </c>
      <c r="F60" s="147">
        <f t="shared" si="23"/>
        <v>22190295.579999998</v>
      </c>
      <c r="G60" s="147">
        <f t="shared" si="23"/>
        <v>19198596.66</v>
      </c>
      <c r="H60" s="147">
        <f t="shared" si="23"/>
        <v>19198596.66</v>
      </c>
      <c r="I60" s="147">
        <f t="shared" si="23"/>
        <v>19198596.66</v>
      </c>
      <c r="J60" s="147">
        <f t="shared" si="23"/>
        <v>19198596.66</v>
      </c>
    </row>
    <row r="61" spans="1:10" x14ac:dyDescent="0.25">
      <c r="A61" s="226"/>
      <c r="B61" s="226" t="s">
        <v>177</v>
      </c>
      <c r="C61" s="1018"/>
      <c r="D61" s="147">
        <f>'таблица (всего)'!D95</f>
        <v>22438000</v>
      </c>
      <c r="E61" s="147">
        <f>'таблица (всего)'!E95</f>
        <v>21243452</v>
      </c>
      <c r="F61" s="147">
        <f>'таблица (всего)'!F95</f>
        <v>22190295.579999998</v>
      </c>
      <c r="G61" s="147">
        <f>'таблица (всего)'!G95</f>
        <v>19198596.66</v>
      </c>
      <c r="H61" s="147">
        <f>'таблица (всего)'!H95</f>
        <v>19198596.66</v>
      </c>
      <c r="I61" s="147">
        <f>'таблица (всего)'!I95</f>
        <v>19198596.66</v>
      </c>
      <c r="J61" s="147">
        <f>'таблица (всего)'!J95</f>
        <v>19198596.66</v>
      </c>
    </row>
    <row r="62" spans="1:10" x14ac:dyDescent="0.25">
      <c r="A62" s="226"/>
      <c r="B62" s="226" t="s">
        <v>178</v>
      </c>
      <c r="C62" s="1018"/>
      <c r="D62" s="239" t="s">
        <v>227</v>
      </c>
      <c r="E62" s="239" t="s">
        <v>227</v>
      </c>
      <c r="F62" s="147">
        <v>0</v>
      </c>
      <c r="G62" s="147">
        <v>0</v>
      </c>
      <c r="H62" s="147">
        <v>0</v>
      </c>
      <c r="I62" s="147">
        <v>0</v>
      </c>
      <c r="J62" s="147">
        <v>0</v>
      </c>
    </row>
    <row r="63" spans="1:10" ht="51" x14ac:dyDescent="0.25">
      <c r="A63" s="226" t="s">
        <v>256</v>
      </c>
      <c r="B63" s="229" t="str">
        <f>'таблица (всего)'!C96</f>
        <v xml:space="preserve">«Судебно-медицинская экспертиза» </v>
      </c>
      <c r="C63" s="226" t="s">
        <v>180</v>
      </c>
      <c r="D63" s="147">
        <f>D64</f>
        <v>37697900</v>
      </c>
      <c r="E63" s="147">
        <f t="shared" ref="E63:J64" si="24">E64</f>
        <v>38820600</v>
      </c>
      <c r="F63" s="147">
        <f t="shared" si="24"/>
        <v>38384167.079999998</v>
      </c>
      <c r="G63" s="147">
        <f t="shared" si="24"/>
        <v>36596104.5</v>
      </c>
      <c r="H63" s="147">
        <f t="shared" si="24"/>
        <v>36596104.5</v>
      </c>
      <c r="I63" s="147">
        <f t="shared" si="24"/>
        <v>36596104.5</v>
      </c>
      <c r="J63" s="147">
        <f t="shared" si="24"/>
        <v>36596104.5</v>
      </c>
    </row>
    <row r="64" spans="1:10" x14ac:dyDescent="0.25">
      <c r="A64" s="226"/>
      <c r="B64" s="226" t="s">
        <v>225</v>
      </c>
      <c r="C64" s="1017"/>
      <c r="D64" s="147">
        <f>D65</f>
        <v>37697900</v>
      </c>
      <c r="E64" s="147">
        <f t="shared" si="24"/>
        <v>38820600</v>
      </c>
      <c r="F64" s="147">
        <f t="shared" si="24"/>
        <v>38384167.079999998</v>
      </c>
      <c r="G64" s="147">
        <f t="shared" si="24"/>
        <v>36596104.5</v>
      </c>
      <c r="H64" s="147">
        <f t="shared" si="24"/>
        <v>36596104.5</v>
      </c>
      <c r="I64" s="147">
        <f t="shared" si="24"/>
        <v>36596104.5</v>
      </c>
      <c r="J64" s="147">
        <f t="shared" si="24"/>
        <v>36596104.5</v>
      </c>
    </row>
    <row r="65" spans="1:10" x14ac:dyDescent="0.25">
      <c r="A65" s="226"/>
      <c r="B65" s="226" t="s">
        <v>177</v>
      </c>
      <c r="C65" s="1018"/>
      <c r="D65" s="147">
        <f t="shared" ref="D65:J65" si="25">D69+D73</f>
        <v>37697900</v>
      </c>
      <c r="E65" s="147">
        <f t="shared" si="25"/>
        <v>38820600</v>
      </c>
      <c r="F65" s="147">
        <f t="shared" si="25"/>
        <v>38384167.079999998</v>
      </c>
      <c r="G65" s="147">
        <f t="shared" si="25"/>
        <v>36596104.5</v>
      </c>
      <c r="H65" s="147">
        <f t="shared" si="25"/>
        <v>36596104.5</v>
      </c>
      <c r="I65" s="147">
        <f t="shared" si="25"/>
        <v>36596104.5</v>
      </c>
      <c r="J65" s="147">
        <f t="shared" si="25"/>
        <v>36596104.5</v>
      </c>
    </row>
    <row r="66" spans="1:10" x14ac:dyDescent="0.25">
      <c r="A66" s="226"/>
      <c r="B66" s="226" t="s">
        <v>178</v>
      </c>
      <c r="C66" s="1018"/>
      <c r="D66" s="239" t="s">
        <v>227</v>
      </c>
      <c r="E66" s="239" t="s">
        <v>227</v>
      </c>
      <c r="F66" s="147">
        <v>0</v>
      </c>
      <c r="G66" s="147">
        <v>0</v>
      </c>
      <c r="H66" s="147">
        <v>0</v>
      </c>
      <c r="I66" s="147">
        <v>0</v>
      </c>
      <c r="J66" s="147">
        <v>0</v>
      </c>
    </row>
    <row r="67" spans="1:10" ht="63.75" hidden="1" x14ac:dyDescent="0.25">
      <c r="A67" s="240" t="s">
        <v>257</v>
      </c>
      <c r="B67" s="229" t="str">
        <f>'таблица (всего)'!C97</f>
        <v>Повышение средней заработной платы отдельным категориям работников учреждений бюджетной сферы до средней заработной платы в Ивановской области в соответствии с указами Президента Российской Федерации</v>
      </c>
      <c r="C67" s="226" t="s">
        <v>180</v>
      </c>
      <c r="D67" s="147">
        <f>D68</f>
        <v>948700</v>
      </c>
      <c r="E67" s="147">
        <f t="shared" ref="E67:J68" si="26">E68</f>
        <v>0</v>
      </c>
      <c r="F67" s="147">
        <f t="shared" si="26"/>
        <v>1030245.5</v>
      </c>
      <c r="G67" s="147">
        <f t="shared" si="26"/>
        <v>1030245.5</v>
      </c>
      <c r="H67" s="147">
        <f t="shared" si="26"/>
        <v>1030245.5</v>
      </c>
      <c r="I67" s="147">
        <f t="shared" si="26"/>
        <v>1030245.5</v>
      </c>
      <c r="J67" s="147">
        <f t="shared" si="26"/>
        <v>1030245.5</v>
      </c>
    </row>
    <row r="68" spans="1:10" hidden="1" x14ac:dyDescent="0.25">
      <c r="A68" s="226"/>
      <c r="B68" s="226" t="s">
        <v>225</v>
      </c>
      <c r="C68" s="1017"/>
      <c r="D68" s="147">
        <f>D69</f>
        <v>948700</v>
      </c>
      <c r="E68" s="147">
        <f t="shared" si="26"/>
        <v>0</v>
      </c>
      <c r="F68" s="147">
        <f t="shared" si="26"/>
        <v>1030245.5</v>
      </c>
      <c r="G68" s="147">
        <f t="shared" si="26"/>
        <v>1030245.5</v>
      </c>
      <c r="H68" s="147">
        <f t="shared" si="26"/>
        <v>1030245.5</v>
      </c>
      <c r="I68" s="147">
        <f t="shared" si="26"/>
        <v>1030245.5</v>
      </c>
      <c r="J68" s="147">
        <f t="shared" si="26"/>
        <v>1030245.5</v>
      </c>
    </row>
    <row r="69" spans="1:10" hidden="1" x14ac:dyDescent="0.25">
      <c r="A69" s="226"/>
      <c r="B69" s="226" t="s">
        <v>177</v>
      </c>
      <c r="C69" s="1018"/>
      <c r="D69" s="147">
        <f>'таблица (всего)'!D97</f>
        <v>948700</v>
      </c>
      <c r="E69" s="147">
        <f>'таблица (всего)'!E97</f>
        <v>0</v>
      </c>
      <c r="F69" s="147">
        <f>'таблица (всего)'!F97</f>
        <v>1030245.5</v>
      </c>
      <c r="G69" s="147">
        <f>'таблица (всего)'!G97</f>
        <v>1030245.5</v>
      </c>
      <c r="H69" s="147">
        <f>'таблица (всего)'!H97</f>
        <v>1030245.5</v>
      </c>
      <c r="I69" s="147">
        <f>'таблица (всего)'!I97</f>
        <v>1030245.5</v>
      </c>
      <c r="J69" s="147">
        <f>'таблица (всего)'!J97</f>
        <v>1030245.5</v>
      </c>
    </row>
    <row r="70" spans="1:10" hidden="1" x14ac:dyDescent="0.25">
      <c r="A70" s="226"/>
      <c r="B70" s="226" t="s">
        <v>178</v>
      </c>
      <c r="C70" s="1018"/>
      <c r="D70" s="239" t="s">
        <v>227</v>
      </c>
      <c r="E70" s="239" t="s">
        <v>227</v>
      </c>
      <c r="F70" s="147" t="s">
        <v>227</v>
      </c>
      <c r="G70" s="147" t="s">
        <v>227</v>
      </c>
      <c r="H70" s="147" t="s">
        <v>227</v>
      </c>
      <c r="I70" s="147" t="s">
        <v>227</v>
      </c>
      <c r="J70" s="147" t="s">
        <v>227</v>
      </c>
    </row>
    <row r="71" spans="1:10" ht="51" x14ac:dyDescent="0.25">
      <c r="A71" s="240" t="s">
        <v>258</v>
      </c>
      <c r="B71" s="229" t="str">
        <f>'таблица (всего)'!C98</f>
        <v>Проведение судебно-медицинской экспертизы</v>
      </c>
      <c r="C71" s="226" t="s">
        <v>180</v>
      </c>
      <c r="D71" s="147">
        <f>D72</f>
        <v>36749200</v>
      </c>
      <c r="E71" s="147">
        <f t="shared" ref="E71:J72" si="27">E72</f>
        <v>38820600</v>
      </c>
      <c r="F71" s="147">
        <f t="shared" si="27"/>
        <v>37353921.579999998</v>
      </c>
      <c r="G71" s="147">
        <f t="shared" si="27"/>
        <v>35565859</v>
      </c>
      <c r="H71" s="147">
        <f t="shared" si="27"/>
        <v>35565859</v>
      </c>
      <c r="I71" s="147">
        <f t="shared" si="27"/>
        <v>35565859</v>
      </c>
      <c r="J71" s="147">
        <f t="shared" si="27"/>
        <v>35565859</v>
      </c>
    </row>
    <row r="72" spans="1:10" x14ac:dyDescent="0.25">
      <c r="A72" s="226"/>
      <c r="B72" s="226" t="s">
        <v>225</v>
      </c>
      <c r="C72" s="1017"/>
      <c r="D72" s="147">
        <f>D73</f>
        <v>36749200</v>
      </c>
      <c r="E72" s="147">
        <f t="shared" si="27"/>
        <v>38820600</v>
      </c>
      <c r="F72" s="147">
        <f t="shared" si="27"/>
        <v>37353921.579999998</v>
      </c>
      <c r="G72" s="147">
        <f t="shared" si="27"/>
        <v>35565859</v>
      </c>
      <c r="H72" s="147">
        <f t="shared" si="27"/>
        <v>35565859</v>
      </c>
      <c r="I72" s="147">
        <f t="shared" si="27"/>
        <v>35565859</v>
      </c>
      <c r="J72" s="147">
        <f t="shared" si="27"/>
        <v>35565859</v>
      </c>
    </row>
    <row r="73" spans="1:10" x14ac:dyDescent="0.25">
      <c r="A73" s="226"/>
      <c r="B73" s="226" t="s">
        <v>177</v>
      </c>
      <c r="C73" s="1018"/>
      <c r="D73" s="147">
        <f>'таблица (всего)'!D98</f>
        <v>36749200</v>
      </c>
      <c r="E73" s="147">
        <f>'таблица (всего)'!E98</f>
        <v>38820600</v>
      </c>
      <c r="F73" s="147">
        <f>'таблица (всего)'!F98</f>
        <v>37353921.579999998</v>
      </c>
      <c r="G73" s="147">
        <f>'таблица (всего)'!G98</f>
        <v>35565859</v>
      </c>
      <c r="H73" s="147">
        <f>'таблица (всего)'!H98</f>
        <v>35565859</v>
      </c>
      <c r="I73" s="147">
        <f>'таблица (всего)'!I98</f>
        <v>35565859</v>
      </c>
      <c r="J73" s="147">
        <f>'таблица (всего)'!J98</f>
        <v>35565859</v>
      </c>
    </row>
    <row r="74" spans="1:10" x14ac:dyDescent="0.25">
      <c r="A74" s="226"/>
      <c r="B74" s="226" t="s">
        <v>178</v>
      </c>
      <c r="C74" s="1019"/>
      <c r="D74" s="239" t="s">
        <v>227</v>
      </c>
      <c r="E74" s="239" t="s">
        <v>227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</row>
  </sheetData>
  <mergeCells count="19">
    <mergeCell ref="C60:C62"/>
    <mergeCell ref="C64:C66"/>
    <mergeCell ref="C68:C70"/>
    <mergeCell ref="C72:C74"/>
    <mergeCell ref="C28:C30"/>
    <mergeCell ref="C32:C34"/>
    <mergeCell ref="C23:C26"/>
    <mergeCell ref="C14:C17"/>
    <mergeCell ref="C56:C58"/>
    <mergeCell ref="C48:C50"/>
    <mergeCell ref="C52:C54"/>
    <mergeCell ref="C44:C46"/>
    <mergeCell ref="C36:C38"/>
    <mergeCell ref="C40:C42"/>
    <mergeCell ref="I1:J1"/>
    <mergeCell ref="A2:J2"/>
    <mergeCell ref="A3:J3"/>
    <mergeCell ref="C7:C12"/>
    <mergeCell ref="C19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для Киселевой Е.С.</vt:lpstr>
      <vt:lpstr>таблица (всего)</vt:lpstr>
      <vt:lpstr>ТПГГ (областной бюджет)</vt:lpstr>
      <vt:lpstr>Модернизация</vt:lpstr>
      <vt:lpstr>Первичная</vt:lpstr>
      <vt:lpstr>Специализированная</vt:lpstr>
      <vt:lpstr>Паллиативная</vt:lpstr>
      <vt:lpstr>Заготовка крови</vt:lpstr>
      <vt:lpstr>Другие вопросы</vt:lpstr>
      <vt:lpstr>Меры соц. поддержки</vt:lpstr>
      <vt:lpstr>Организация ОМС</vt:lpstr>
      <vt:lpstr>Лицензирование</vt:lpstr>
      <vt:lpstr>Охрана здоровья МиР</vt:lpstr>
      <vt:lpstr>Кадровое обеспечение</vt:lpstr>
      <vt:lpstr>ТФОМС</vt:lpstr>
      <vt:lpstr>Образование</vt:lpstr>
      <vt:lpstr>Управление</vt:lpstr>
      <vt:lpstr>Соц.поддержка</vt:lpstr>
      <vt:lpstr>Обеспечение безопасности</vt:lpstr>
      <vt:lpstr>ежеквартальный отчет</vt:lpstr>
      <vt:lpstr>Первичная!OLE_LINK1</vt:lpstr>
      <vt:lpstr>'ежеквартальный отчет'!Заголовки_для_печати</vt:lpstr>
      <vt:lpstr>'ежеквартальный отчет'!Область_печати</vt:lpstr>
      <vt:lpstr>'таблица (всего)'!Область_печати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Polubutkina</dc:creator>
  <cp:lastModifiedBy>Моржова Светлана</cp:lastModifiedBy>
  <cp:lastPrinted>2018-07-10T13:16:24Z</cp:lastPrinted>
  <dcterms:created xsi:type="dcterms:W3CDTF">2012-08-17T11:34:40Z</dcterms:created>
  <dcterms:modified xsi:type="dcterms:W3CDTF">2018-07-10T13:29:18Z</dcterms:modified>
</cp:coreProperties>
</file>